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EstaPasta_de_trabalho"/>
  <bookViews>
    <workbookView xWindow="0" yWindow="45" windowWidth="20730" windowHeight="11700" tabRatio="568"/>
  </bookViews>
  <sheets>
    <sheet name="Orçamento" sheetId="57" r:id="rId1"/>
    <sheet name="Quant." sheetId="65" r:id="rId2"/>
    <sheet name="Drenagem" sheetId="116" r:id="rId3"/>
    <sheet name="Pavimentação" sheetId="107" r:id="rId4"/>
    <sheet name="Cronograma" sheetId="130" r:id="rId5"/>
    <sheet name="ADM" sheetId="129" r:id="rId6"/>
    <sheet name="QCI " sheetId="131" r:id="rId7"/>
    <sheet name="BDI" sheetId="11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 localSheetId="5">#REF!</definedName>
    <definedName name="\0" localSheetId="7">#REF!</definedName>
    <definedName name="\0" localSheetId="2">#REF!</definedName>
    <definedName name="\0" localSheetId="6">#REF!</definedName>
    <definedName name="\0">#REF!</definedName>
    <definedName name="\a" localSheetId="5">#REF!</definedName>
    <definedName name="\a" localSheetId="7">#REF!</definedName>
    <definedName name="\a" localSheetId="2">#REF!</definedName>
    <definedName name="\a" localSheetId="6">#REF!</definedName>
    <definedName name="\a">#REF!</definedName>
    <definedName name="\c" localSheetId="7">[1]PLMUSEU!#REF!</definedName>
    <definedName name="\c">[1]PLMUSEU!#REF!</definedName>
    <definedName name="\x" localSheetId="7">[1]PLMUSEU!#REF!</definedName>
    <definedName name="\x">[1]PLMUSEU!#REF!</definedName>
    <definedName name="\z" localSheetId="7">[1]PLMUSEU!#REF!</definedName>
    <definedName name="\z">[1]PLMUSEU!#REF!</definedName>
    <definedName name="____________________pv3" localSheetId="5">#REF!</definedName>
    <definedName name="____________________pv3" localSheetId="7">#REF!</definedName>
    <definedName name="____________________pv3" localSheetId="6">#REF!</definedName>
    <definedName name="____________________pv3">#REF!</definedName>
    <definedName name="___________________Ele200502" localSheetId="7">#REF!</definedName>
    <definedName name="___________________Ele200502">#REF!</definedName>
    <definedName name="___________________pv3" localSheetId="7">#REF!</definedName>
    <definedName name="___________________pv3">#REF!</definedName>
    <definedName name="___________________Ser200705" localSheetId="7">#REF!</definedName>
    <definedName name="___________________Ser200705">#REF!</definedName>
    <definedName name="___________________Ser200712" localSheetId="7">#REF!</definedName>
    <definedName name="___________________Ser200712">#REF!</definedName>
    <definedName name="___________________Ser201104" localSheetId="7">#REF!</definedName>
    <definedName name="___________________Ser201104">#REF!</definedName>
    <definedName name="___________________TR2" localSheetId="7">#REF!</definedName>
    <definedName name="___________________TR2">#REF!</definedName>
    <definedName name="___________________TR5" localSheetId="7">#REF!</definedName>
    <definedName name="___________________TR5">#REF!</definedName>
    <definedName name="__________________Ele200502" localSheetId="7">#REF!</definedName>
    <definedName name="__________________Ele200502">#REF!</definedName>
    <definedName name="__________________Ele200609" localSheetId="7">#REF!</definedName>
    <definedName name="__________________Ele200609">#REF!</definedName>
    <definedName name="__________________pv2" localSheetId="7">#REF!</definedName>
    <definedName name="__________________pv2">#REF!</definedName>
    <definedName name="__________________pv3" localSheetId="7">#REF!</definedName>
    <definedName name="__________________pv3">#REF!</definedName>
    <definedName name="__________________Ser200506" localSheetId="7">#REF!</definedName>
    <definedName name="__________________Ser200506">#REF!</definedName>
    <definedName name="__________________Ser200705" localSheetId="7">#REF!</definedName>
    <definedName name="__________________Ser200705">#REF!</definedName>
    <definedName name="__________________Ser200712" localSheetId="7">#REF!</definedName>
    <definedName name="__________________Ser200712">#REF!</definedName>
    <definedName name="__________________Ser201104" localSheetId="7">#REF!</definedName>
    <definedName name="__________________Ser201104">#REF!</definedName>
    <definedName name="__________________TR2" localSheetId="7">#REF!</definedName>
    <definedName name="__________________TR2">#REF!</definedName>
    <definedName name="__________________TR5" localSheetId="7">#REF!</definedName>
    <definedName name="__________________TR5">#REF!</definedName>
    <definedName name="_________________Ele200502" localSheetId="7">#REF!</definedName>
    <definedName name="_________________Ele200502">#REF!</definedName>
    <definedName name="_________________Ele200609" localSheetId="7">#REF!</definedName>
    <definedName name="_________________Ele200609">#REF!</definedName>
    <definedName name="_________________pv2" localSheetId="7">#REF!</definedName>
    <definedName name="_________________pv2">#REF!</definedName>
    <definedName name="_________________pv3" localSheetId="7">#REF!</definedName>
    <definedName name="_________________pv3">#REF!</definedName>
    <definedName name="_________________Ser200506" localSheetId="7">#REF!</definedName>
    <definedName name="_________________Ser200506">#REF!</definedName>
    <definedName name="_________________Ser200705" localSheetId="7">#REF!</definedName>
    <definedName name="_________________Ser200705">#REF!</definedName>
    <definedName name="_________________Ser200712" localSheetId="7">#REF!</definedName>
    <definedName name="_________________Ser200712">#REF!</definedName>
    <definedName name="_________________Ser201104" localSheetId="7">#REF!</definedName>
    <definedName name="_________________Ser201104">#REF!</definedName>
    <definedName name="_________________TR2" localSheetId="7">#REF!</definedName>
    <definedName name="_________________TR2">#REF!</definedName>
    <definedName name="_________________TR5" localSheetId="7">#REF!</definedName>
    <definedName name="_________________TR5">#REF!</definedName>
    <definedName name="________________Ele200502" localSheetId="7">#REF!</definedName>
    <definedName name="________________Ele200502">#REF!</definedName>
    <definedName name="________________Ele200609" localSheetId="7">#REF!</definedName>
    <definedName name="________________Ele200609">#REF!</definedName>
    <definedName name="________________pv2" localSheetId="7">#REF!</definedName>
    <definedName name="________________pv2">#REF!</definedName>
    <definedName name="________________pv3" localSheetId="7">#REF!</definedName>
    <definedName name="________________pv3">#REF!</definedName>
    <definedName name="________________Ser200506" localSheetId="7">#REF!</definedName>
    <definedName name="________________Ser200506">#REF!</definedName>
    <definedName name="________________Ser200705" localSheetId="7">#REF!</definedName>
    <definedName name="________________Ser200705">#REF!</definedName>
    <definedName name="________________Ser200712" localSheetId="7">#REF!</definedName>
    <definedName name="________________Ser200712">#REF!</definedName>
    <definedName name="________________Ser201104" localSheetId="7">#REF!</definedName>
    <definedName name="________________Ser201104">#REF!</definedName>
    <definedName name="________________TR2" localSheetId="7">#REF!</definedName>
    <definedName name="________________TR2">#REF!</definedName>
    <definedName name="________________TR5" localSheetId="7">#REF!</definedName>
    <definedName name="________________TR5">#REF!</definedName>
    <definedName name="_______________Ele200502" localSheetId="7">#REF!</definedName>
    <definedName name="_______________Ele200502">#REF!</definedName>
    <definedName name="_______________Ele200609" localSheetId="7">#REF!</definedName>
    <definedName name="_______________Ele200609">#REF!</definedName>
    <definedName name="_______________pv2" localSheetId="7">#REF!</definedName>
    <definedName name="_______________pv2">#REF!</definedName>
    <definedName name="_______________pv3" localSheetId="7">#REF!</definedName>
    <definedName name="_______________pv3">#REF!</definedName>
    <definedName name="_______________Ser200506" localSheetId="7">#REF!</definedName>
    <definedName name="_______________Ser200506">#REF!</definedName>
    <definedName name="_______________Ser200705" localSheetId="7">#REF!</definedName>
    <definedName name="_______________Ser200705">#REF!</definedName>
    <definedName name="_______________Ser200712" localSheetId="7">#REF!</definedName>
    <definedName name="_______________Ser200712">#REF!</definedName>
    <definedName name="_______________Ser201104" localSheetId="7">#REF!</definedName>
    <definedName name="_______________Ser201104">#REF!</definedName>
    <definedName name="_______________TR2" localSheetId="7">#REF!</definedName>
    <definedName name="_______________TR2">#REF!</definedName>
    <definedName name="_______________TR5" localSheetId="7">#REF!</definedName>
    <definedName name="_______________TR5">#REF!</definedName>
    <definedName name="______________Ele200502" localSheetId="7">#REF!</definedName>
    <definedName name="______________Ele200502">#REF!</definedName>
    <definedName name="______________Ele200609" localSheetId="7">#REF!</definedName>
    <definedName name="______________Ele200609">#REF!</definedName>
    <definedName name="______________pv2" localSheetId="7">#REF!</definedName>
    <definedName name="______________pv2">#REF!</definedName>
    <definedName name="______________pv3" localSheetId="7">#REF!</definedName>
    <definedName name="______________pv3">#REF!</definedName>
    <definedName name="______________Ser200506" localSheetId="7">#REF!</definedName>
    <definedName name="______________Ser200506">#REF!</definedName>
    <definedName name="______________Ser200705" localSheetId="7">#REF!</definedName>
    <definedName name="______________Ser200705">#REF!</definedName>
    <definedName name="______________Ser200712" localSheetId="7">#REF!</definedName>
    <definedName name="______________Ser200712">#REF!</definedName>
    <definedName name="______________Ser201104" localSheetId="7">#REF!</definedName>
    <definedName name="______________Ser201104">#REF!</definedName>
    <definedName name="______________TR2" localSheetId="7">#REF!</definedName>
    <definedName name="______________TR2">#REF!</definedName>
    <definedName name="______________TR5" localSheetId="7">#REF!</definedName>
    <definedName name="______________TR5">#REF!</definedName>
    <definedName name="_____________Ele200502" localSheetId="7">#REF!</definedName>
    <definedName name="_____________Ele200502">#REF!</definedName>
    <definedName name="_____________Ele200609" localSheetId="7">#REF!</definedName>
    <definedName name="_____________Ele200609">#REF!</definedName>
    <definedName name="_____________pv2" localSheetId="7">#REF!</definedName>
    <definedName name="_____________pv2">#REF!</definedName>
    <definedName name="_____________pv3" localSheetId="7">#REF!</definedName>
    <definedName name="_____________pv3">#REF!</definedName>
    <definedName name="_____________Ser200506" localSheetId="7">#REF!</definedName>
    <definedName name="_____________Ser200506">#REF!</definedName>
    <definedName name="_____________Ser200705" localSheetId="7">#REF!</definedName>
    <definedName name="_____________Ser200705">#REF!</definedName>
    <definedName name="_____________Ser200712" localSheetId="7">#REF!</definedName>
    <definedName name="_____________Ser200712">#REF!</definedName>
    <definedName name="_____________Ser201104" localSheetId="7">#REF!</definedName>
    <definedName name="_____________Ser201104">#REF!</definedName>
    <definedName name="_____________TR2" localSheetId="7">#REF!</definedName>
    <definedName name="_____________TR2">#REF!</definedName>
    <definedName name="_____________TR5" localSheetId="7">#REF!</definedName>
    <definedName name="_____________TR5">#REF!</definedName>
    <definedName name="____________Ele200502" localSheetId="7">#REF!</definedName>
    <definedName name="____________Ele200502">#REF!</definedName>
    <definedName name="____________Ele200609" localSheetId="7">#REF!</definedName>
    <definedName name="____________Ele200609">#REF!</definedName>
    <definedName name="____________pv2" localSheetId="7">#REF!</definedName>
    <definedName name="____________pv2">#REF!</definedName>
    <definedName name="____________pv3" localSheetId="7">#REF!</definedName>
    <definedName name="____________pv3">#REF!</definedName>
    <definedName name="____________REV5" localSheetId="7">#REF!</definedName>
    <definedName name="____________REV5">#REF!</definedName>
    <definedName name="____________Ser200506" localSheetId="7">#REF!</definedName>
    <definedName name="____________Ser200506">#REF!</definedName>
    <definedName name="____________Ser200705" localSheetId="7">#REF!</definedName>
    <definedName name="____________Ser200705">#REF!</definedName>
    <definedName name="____________Ser200712" localSheetId="7">#REF!</definedName>
    <definedName name="____________Ser200712">#REF!</definedName>
    <definedName name="____________Ser201104" localSheetId="7">#REF!</definedName>
    <definedName name="____________Ser201104">#REF!</definedName>
    <definedName name="____________TR2" localSheetId="7">#REF!</definedName>
    <definedName name="____________TR2">#REF!</definedName>
    <definedName name="____________TR5" localSheetId="7">#REF!</definedName>
    <definedName name="____________TR5">#REF!</definedName>
    <definedName name="___________Ele200502" localSheetId="7">#REF!</definedName>
    <definedName name="___________Ele200502">#REF!</definedName>
    <definedName name="___________Ele200609" localSheetId="7">#REF!</definedName>
    <definedName name="___________Ele200609">#REF!</definedName>
    <definedName name="___________pv2" localSheetId="7">#REF!</definedName>
    <definedName name="___________pv2">#REF!</definedName>
    <definedName name="___________pv3" localSheetId="7">#REF!</definedName>
    <definedName name="___________pv3" localSheetId="2">#REF!</definedName>
    <definedName name="___________pv3" localSheetId="6">#REF!</definedName>
    <definedName name="___________pv3">#REF!</definedName>
    <definedName name="___________REV5" localSheetId="7">#REF!</definedName>
    <definedName name="___________REV5">#REF!</definedName>
    <definedName name="___________Ser200506" localSheetId="7">#REF!</definedName>
    <definedName name="___________Ser200506">#REF!</definedName>
    <definedName name="___________Ser200705" localSheetId="7">#REF!</definedName>
    <definedName name="___________Ser200705">#REF!</definedName>
    <definedName name="___________Ser200712" localSheetId="7">#REF!</definedName>
    <definedName name="___________Ser200712">#REF!</definedName>
    <definedName name="___________Ser201104" localSheetId="7">#REF!</definedName>
    <definedName name="___________Ser201104">#REF!</definedName>
    <definedName name="___________TR2" localSheetId="7">#REF!</definedName>
    <definedName name="___________TR2">#REF!</definedName>
    <definedName name="___________TR5" localSheetId="7">#REF!</definedName>
    <definedName name="___________TR5">#REF!</definedName>
    <definedName name="__________Ele200502" localSheetId="7">#REF!</definedName>
    <definedName name="__________Ele200502" localSheetId="2">#REF!</definedName>
    <definedName name="__________Ele200502" localSheetId="6">#REF!</definedName>
    <definedName name="__________Ele200502">#REF!</definedName>
    <definedName name="__________Ele200609" localSheetId="7">#REF!</definedName>
    <definedName name="__________Ele200609" localSheetId="2">#REF!</definedName>
    <definedName name="__________Ele200609" localSheetId="6">#REF!</definedName>
    <definedName name="__________Ele200609">#REF!</definedName>
    <definedName name="__________pv2" localSheetId="7">#REF!</definedName>
    <definedName name="__________pv2" localSheetId="2">#REF!</definedName>
    <definedName name="__________pv2" localSheetId="6">#REF!</definedName>
    <definedName name="__________pv2">#REF!</definedName>
    <definedName name="__________pv3" localSheetId="7">#REF!</definedName>
    <definedName name="__________pv3" localSheetId="2">#REF!</definedName>
    <definedName name="__________pv3" localSheetId="6">#REF!</definedName>
    <definedName name="__________pv3">#REF!</definedName>
    <definedName name="__________REV5" localSheetId="7">#REF!</definedName>
    <definedName name="__________REV5">#REF!</definedName>
    <definedName name="__________Ser200506" localSheetId="7">#REF!</definedName>
    <definedName name="__________Ser200506" localSheetId="2">#REF!</definedName>
    <definedName name="__________Ser200506" localSheetId="6">#REF!</definedName>
    <definedName name="__________Ser200506">#REF!</definedName>
    <definedName name="__________Ser200705" localSheetId="7">#REF!</definedName>
    <definedName name="__________Ser200705" localSheetId="2">#REF!</definedName>
    <definedName name="__________Ser200705" localSheetId="6">#REF!</definedName>
    <definedName name="__________Ser200705">#REF!</definedName>
    <definedName name="__________Ser200712" localSheetId="7">#REF!</definedName>
    <definedName name="__________Ser200712" localSheetId="2">#REF!</definedName>
    <definedName name="__________Ser200712" localSheetId="6">#REF!</definedName>
    <definedName name="__________Ser200712">#REF!</definedName>
    <definedName name="__________Ser201104" localSheetId="7">#REF!</definedName>
    <definedName name="__________Ser201104" localSheetId="2">#REF!</definedName>
    <definedName name="__________Ser201104" localSheetId="6">#REF!</definedName>
    <definedName name="__________Ser201104">#REF!</definedName>
    <definedName name="__________TR2" localSheetId="7">#REF!</definedName>
    <definedName name="__________TR2" localSheetId="2">#REF!</definedName>
    <definedName name="__________TR2" localSheetId="6">#REF!</definedName>
    <definedName name="__________TR2">#REF!</definedName>
    <definedName name="__________TR5" localSheetId="7">#REF!</definedName>
    <definedName name="__________TR5" localSheetId="2">#REF!</definedName>
    <definedName name="__________TR5" localSheetId="6">#REF!</definedName>
    <definedName name="__________TR5">#REF!</definedName>
    <definedName name="_________abc2" localSheetId="7">#REF!</definedName>
    <definedName name="_________abc2">#REF!</definedName>
    <definedName name="_________Ele200502" localSheetId="7">#REF!</definedName>
    <definedName name="_________Ele200502" localSheetId="2">#REF!</definedName>
    <definedName name="_________Ele200502" localSheetId="6">#REF!</definedName>
    <definedName name="_________Ele200502">#REF!</definedName>
    <definedName name="_________Ele200609" localSheetId="7">#REF!</definedName>
    <definedName name="_________Ele200609" localSheetId="2">#REF!</definedName>
    <definedName name="_________Ele200609" localSheetId="6">#REF!</definedName>
    <definedName name="_________Ele200609">#REF!</definedName>
    <definedName name="_________pv2" localSheetId="7">#REF!</definedName>
    <definedName name="_________pv2" localSheetId="2">#REF!</definedName>
    <definedName name="_________pv2" localSheetId="6">#REF!</definedName>
    <definedName name="_________pv2">#REF!</definedName>
    <definedName name="_________pv3" localSheetId="7">#REF!</definedName>
    <definedName name="_________pv3" localSheetId="2">#REF!</definedName>
    <definedName name="_________pv3" localSheetId="6">#REF!</definedName>
    <definedName name="_________pv3">#REF!</definedName>
    <definedName name="_________REV5" localSheetId="7">#REF!</definedName>
    <definedName name="_________REV5">#REF!</definedName>
    <definedName name="_________Ser200506" localSheetId="7">#REF!</definedName>
    <definedName name="_________Ser200506" localSheetId="2">#REF!</definedName>
    <definedName name="_________Ser200506" localSheetId="6">#REF!</definedName>
    <definedName name="_________Ser200506">#REF!</definedName>
    <definedName name="_________Ser200705" localSheetId="7">#REF!</definedName>
    <definedName name="_________Ser200705" localSheetId="2">#REF!</definedName>
    <definedName name="_________Ser200705" localSheetId="6">#REF!</definedName>
    <definedName name="_________Ser200705">#REF!</definedName>
    <definedName name="_________Ser200712" localSheetId="7">#REF!</definedName>
    <definedName name="_________Ser200712" localSheetId="2">#REF!</definedName>
    <definedName name="_________Ser200712" localSheetId="6">#REF!</definedName>
    <definedName name="_________Ser200712">#REF!</definedName>
    <definedName name="_________Ser201104" localSheetId="7">#REF!</definedName>
    <definedName name="_________Ser201104" localSheetId="2">#REF!</definedName>
    <definedName name="_________Ser201104" localSheetId="6">#REF!</definedName>
    <definedName name="_________Ser201104">#REF!</definedName>
    <definedName name="_________TR2" localSheetId="7">#REF!</definedName>
    <definedName name="_________TR2" localSheetId="2">#REF!</definedName>
    <definedName name="_________TR2" localSheetId="6">#REF!</definedName>
    <definedName name="_________TR2">#REF!</definedName>
    <definedName name="_________TR5" localSheetId="7">#REF!</definedName>
    <definedName name="_________TR5" localSheetId="2">#REF!</definedName>
    <definedName name="_________TR5" localSheetId="6">#REF!</definedName>
    <definedName name="_________TR5">#REF!</definedName>
    <definedName name="________abc2" localSheetId="7">#REF!</definedName>
    <definedName name="________abc2">#REF!</definedName>
    <definedName name="________Ele200502" localSheetId="7">#REF!</definedName>
    <definedName name="________Ele200502" localSheetId="2">#REF!</definedName>
    <definedName name="________Ele200502" localSheetId="6">#REF!</definedName>
    <definedName name="________Ele200502">#REF!</definedName>
    <definedName name="________Ele200609" localSheetId="7">#REF!</definedName>
    <definedName name="________Ele200609" localSheetId="2">#REF!</definedName>
    <definedName name="________Ele200609" localSheetId="6">#REF!</definedName>
    <definedName name="________Ele200609">#REF!</definedName>
    <definedName name="________pv2" localSheetId="7">#REF!</definedName>
    <definedName name="________pv2" localSheetId="2">#REF!</definedName>
    <definedName name="________pv2" localSheetId="6">#REF!</definedName>
    <definedName name="________pv2">#REF!</definedName>
    <definedName name="________pv3" localSheetId="7">#REF!</definedName>
    <definedName name="________pv3" localSheetId="2">#REF!</definedName>
    <definedName name="________pv3">#REF!</definedName>
    <definedName name="________REV5" localSheetId="7">#REF!</definedName>
    <definedName name="________REV5">#REF!</definedName>
    <definedName name="________Ser200506" localSheetId="7">#REF!</definedName>
    <definedName name="________Ser200506" localSheetId="2">#REF!</definedName>
    <definedName name="________Ser200506" localSheetId="6">#REF!</definedName>
    <definedName name="________Ser200506">#REF!</definedName>
    <definedName name="________Ser200705" localSheetId="7">#REF!</definedName>
    <definedName name="________Ser200705" localSheetId="2">#REF!</definedName>
    <definedName name="________Ser200705" localSheetId="6">#REF!</definedName>
    <definedName name="________Ser200705">#REF!</definedName>
    <definedName name="________Ser200712" localSheetId="7">#REF!</definedName>
    <definedName name="________Ser200712" localSheetId="2">#REF!</definedName>
    <definedName name="________Ser200712" localSheetId="6">#REF!</definedName>
    <definedName name="________Ser200712">#REF!</definedName>
    <definedName name="________Ser201104" localSheetId="7">#REF!</definedName>
    <definedName name="________Ser201104" localSheetId="2">#REF!</definedName>
    <definedName name="________Ser201104" localSheetId="6">#REF!</definedName>
    <definedName name="________Ser201104">#REF!</definedName>
    <definedName name="________TR2" localSheetId="7">#REF!</definedName>
    <definedName name="________TR2" localSheetId="2">#REF!</definedName>
    <definedName name="________TR2" localSheetId="6">#REF!</definedName>
    <definedName name="________TR2">#REF!</definedName>
    <definedName name="________TR5" localSheetId="7">#REF!</definedName>
    <definedName name="________TR5" localSheetId="2">#REF!</definedName>
    <definedName name="________TR5" localSheetId="6">#REF!</definedName>
    <definedName name="________TR5">#REF!</definedName>
    <definedName name="_______abc2" localSheetId="7">#REF!</definedName>
    <definedName name="_______abc2">#REF!</definedName>
    <definedName name="_______Ele200502" localSheetId="7">#REF!</definedName>
    <definedName name="_______Ele200502" localSheetId="2">#REF!</definedName>
    <definedName name="_______Ele200502" localSheetId="6">#REF!</definedName>
    <definedName name="_______Ele200502">#REF!</definedName>
    <definedName name="_______Ele200609" localSheetId="7">#REF!</definedName>
    <definedName name="_______Ele200609" localSheetId="2">#REF!</definedName>
    <definedName name="_______Ele200609" localSheetId="6">#REF!</definedName>
    <definedName name="_______Ele200609">#REF!</definedName>
    <definedName name="_______pv2" localSheetId="7">#REF!</definedName>
    <definedName name="_______pv2" localSheetId="2">#REF!</definedName>
    <definedName name="_______pv2" localSheetId="6">#REF!</definedName>
    <definedName name="_______pv2">#REF!</definedName>
    <definedName name="_______pv3" localSheetId="7">#REF!</definedName>
    <definedName name="_______pv3" localSheetId="2">#REF!</definedName>
    <definedName name="_______pv3" localSheetId="6">#REF!</definedName>
    <definedName name="_______pv3">#REF!</definedName>
    <definedName name="_______REV5" localSheetId="7">#REF!</definedName>
    <definedName name="_______REV5">#REF!</definedName>
    <definedName name="_______Ser200506" localSheetId="7">#REF!</definedName>
    <definedName name="_______Ser200506" localSheetId="2">#REF!</definedName>
    <definedName name="_______Ser200506" localSheetId="6">#REF!</definedName>
    <definedName name="_______Ser200506">#REF!</definedName>
    <definedName name="_______Ser200705" localSheetId="7">#REF!</definedName>
    <definedName name="_______Ser200705" localSheetId="2">#REF!</definedName>
    <definedName name="_______Ser200705" localSheetId="6">#REF!</definedName>
    <definedName name="_______Ser200705">#REF!</definedName>
    <definedName name="_______Ser200712" localSheetId="7">#REF!</definedName>
    <definedName name="_______Ser200712" localSheetId="2">#REF!</definedName>
    <definedName name="_______Ser200712" localSheetId="6">#REF!</definedName>
    <definedName name="_______Ser200712">#REF!</definedName>
    <definedName name="_______Ser201104" localSheetId="7">#REF!</definedName>
    <definedName name="_______Ser201104" localSheetId="2">#REF!</definedName>
    <definedName name="_______Ser201104" localSheetId="6">#REF!</definedName>
    <definedName name="_______Ser201104">#REF!</definedName>
    <definedName name="_______TR2" localSheetId="7">#REF!</definedName>
    <definedName name="_______TR2" localSheetId="2">#REF!</definedName>
    <definedName name="_______TR2" localSheetId="6">#REF!</definedName>
    <definedName name="_______TR2">#REF!</definedName>
    <definedName name="_______TR5" localSheetId="7">#REF!</definedName>
    <definedName name="_______TR5" localSheetId="2">#REF!</definedName>
    <definedName name="_______TR5" localSheetId="6">#REF!</definedName>
    <definedName name="_______TR5">#REF!</definedName>
    <definedName name="______abc2" localSheetId="7">#REF!</definedName>
    <definedName name="______abc2">#REF!</definedName>
    <definedName name="______Ele200502" localSheetId="7">#REF!</definedName>
    <definedName name="______Ele200502" localSheetId="2">#REF!</definedName>
    <definedName name="______Ele200502" localSheetId="6">#REF!</definedName>
    <definedName name="______Ele200502">#REF!</definedName>
    <definedName name="______Ele200609" localSheetId="7">#REF!</definedName>
    <definedName name="______Ele200609" localSheetId="2">#REF!</definedName>
    <definedName name="______Ele200609" localSheetId="6">#REF!</definedName>
    <definedName name="______Ele200609">#REF!</definedName>
    <definedName name="______pv2" localSheetId="7">#REF!</definedName>
    <definedName name="______pv2" localSheetId="2">#REF!</definedName>
    <definedName name="______pv2" localSheetId="6">#REF!</definedName>
    <definedName name="______pv2">#REF!</definedName>
    <definedName name="______pv3" localSheetId="7">#REF!</definedName>
    <definedName name="______pv3" localSheetId="2">#REF!</definedName>
    <definedName name="______pv3" localSheetId="6">#REF!</definedName>
    <definedName name="______pv3">#REF!</definedName>
    <definedName name="______REV5" localSheetId="7">#REF!</definedName>
    <definedName name="______REV5">#REF!</definedName>
    <definedName name="______Ser200506" localSheetId="7">#REF!</definedName>
    <definedName name="______Ser200506" localSheetId="2">#REF!</definedName>
    <definedName name="______Ser200506" localSheetId="6">#REF!</definedName>
    <definedName name="______Ser200506">#REF!</definedName>
    <definedName name="______Ser200705" localSheetId="7">#REF!</definedName>
    <definedName name="______Ser200705" localSheetId="2">#REF!</definedName>
    <definedName name="______Ser200705" localSheetId="6">#REF!</definedName>
    <definedName name="______Ser200705">#REF!</definedName>
    <definedName name="______Ser200712" localSheetId="7">#REF!</definedName>
    <definedName name="______Ser200712" localSheetId="2">#REF!</definedName>
    <definedName name="______Ser200712" localSheetId="6">#REF!</definedName>
    <definedName name="______Ser200712">#REF!</definedName>
    <definedName name="______Ser201104" localSheetId="7">#REF!</definedName>
    <definedName name="______Ser201104" localSheetId="2">#REF!</definedName>
    <definedName name="______Ser201104" localSheetId="6">#REF!</definedName>
    <definedName name="______Ser201104">#REF!</definedName>
    <definedName name="______TR2" localSheetId="7">#REF!</definedName>
    <definedName name="______TR2" localSheetId="2">#REF!</definedName>
    <definedName name="______TR2" localSheetId="6">#REF!</definedName>
    <definedName name="______TR2">#REF!</definedName>
    <definedName name="______TR5" localSheetId="7">#REF!</definedName>
    <definedName name="______TR5" localSheetId="2">#REF!</definedName>
    <definedName name="______TR5" localSheetId="6">#REF!</definedName>
    <definedName name="______TR5">#REF!</definedName>
    <definedName name="_____abc2" localSheetId="7">#REF!</definedName>
    <definedName name="_____abc2">#REF!</definedName>
    <definedName name="_____Ele200502" localSheetId="7">#REF!</definedName>
    <definedName name="_____Ele200502" localSheetId="2">#REF!</definedName>
    <definedName name="_____Ele200502" localSheetId="6">#REF!</definedName>
    <definedName name="_____Ele200502">#REF!</definedName>
    <definedName name="_____Ele200609" localSheetId="7">#REF!</definedName>
    <definedName name="_____Ele200609" localSheetId="2">#REF!</definedName>
    <definedName name="_____Ele200609" localSheetId="6">#REF!</definedName>
    <definedName name="_____Ele200609">#REF!</definedName>
    <definedName name="_____pv2" localSheetId="7">#REF!</definedName>
    <definedName name="_____pv2" localSheetId="2">#REF!</definedName>
    <definedName name="_____pv2" localSheetId="6">#REF!</definedName>
    <definedName name="_____pv2">#REF!</definedName>
    <definedName name="_____pv3" localSheetId="7">#REF!</definedName>
    <definedName name="_____pv3" localSheetId="2">#REF!</definedName>
    <definedName name="_____pv3" localSheetId="6">#REF!</definedName>
    <definedName name="_____pv3">#REF!</definedName>
    <definedName name="_____REV5" localSheetId="7">#REF!</definedName>
    <definedName name="_____REV5" localSheetId="2">#REF!</definedName>
    <definedName name="_____REV5" localSheetId="6">#REF!</definedName>
    <definedName name="_____REV5">#REF!</definedName>
    <definedName name="_____Ser200506" localSheetId="7">#REF!</definedName>
    <definedName name="_____Ser200506" localSheetId="2">#REF!</definedName>
    <definedName name="_____Ser200506" localSheetId="6">#REF!</definedName>
    <definedName name="_____Ser200506">#REF!</definedName>
    <definedName name="_____Ser200705" localSheetId="7">#REF!</definedName>
    <definedName name="_____Ser200705" localSheetId="2">#REF!</definedName>
    <definedName name="_____Ser200705" localSheetId="6">#REF!</definedName>
    <definedName name="_____Ser200705">#REF!</definedName>
    <definedName name="_____Ser200712" localSheetId="7">#REF!</definedName>
    <definedName name="_____Ser200712" localSheetId="2">#REF!</definedName>
    <definedName name="_____Ser200712" localSheetId="6">#REF!</definedName>
    <definedName name="_____Ser200712">#REF!</definedName>
    <definedName name="_____Ser201104" localSheetId="7">#REF!</definedName>
    <definedName name="_____Ser201104" localSheetId="2">#REF!</definedName>
    <definedName name="_____Ser201104" localSheetId="6">#REF!</definedName>
    <definedName name="_____Ser201104">#REF!</definedName>
    <definedName name="_____TR2" localSheetId="7">#REF!</definedName>
    <definedName name="_____TR2" localSheetId="2">#REF!</definedName>
    <definedName name="_____TR2" localSheetId="6">#REF!</definedName>
    <definedName name="_____TR2">#REF!</definedName>
    <definedName name="_____TR5" localSheetId="7">#REF!</definedName>
    <definedName name="_____TR5" localSheetId="2">#REF!</definedName>
    <definedName name="_____TR5" localSheetId="6">#REF!</definedName>
    <definedName name="_____TR5">#REF!</definedName>
    <definedName name="____abc2" localSheetId="7">#REF!</definedName>
    <definedName name="____abc2">#REF!</definedName>
    <definedName name="____Ele200502" localSheetId="7">#REF!</definedName>
    <definedName name="____Ele200502" localSheetId="2">#REF!</definedName>
    <definedName name="____Ele200502" localSheetId="6">#REF!</definedName>
    <definedName name="____Ele200502">#REF!</definedName>
    <definedName name="____Ele200609" localSheetId="7">#REF!</definedName>
    <definedName name="____Ele200609" localSheetId="2">#REF!</definedName>
    <definedName name="____Ele200609" localSheetId="6">#REF!</definedName>
    <definedName name="____Ele200609">#REF!</definedName>
    <definedName name="____pv2" localSheetId="7">#REF!</definedName>
    <definedName name="____pv2" localSheetId="2">#REF!</definedName>
    <definedName name="____pv2" localSheetId="6">#REF!</definedName>
    <definedName name="____pv2">#REF!</definedName>
    <definedName name="____pv3" localSheetId="7">#REF!</definedName>
    <definedName name="____pv3" localSheetId="2">#REF!</definedName>
    <definedName name="____pv3" localSheetId="3">#REF!</definedName>
    <definedName name="____pv3" localSheetId="6">#REF!</definedName>
    <definedName name="____pv3">#REF!</definedName>
    <definedName name="____REV5" localSheetId="7">#REF!</definedName>
    <definedName name="____REV5" localSheetId="2">#REF!</definedName>
    <definedName name="____REV5" localSheetId="6">#REF!</definedName>
    <definedName name="____REV5">#REF!</definedName>
    <definedName name="____Ser200506" localSheetId="7">#REF!</definedName>
    <definedName name="____Ser200506" localSheetId="2">#REF!</definedName>
    <definedName name="____Ser200506" localSheetId="6">#REF!</definedName>
    <definedName name="____Ser200506">#REF!</definedName>
    <definedName name="____Ser200705" localSheetId="7">#REF!</definedName>
    <definedName name="____Ser200705" localSheetId="2">#REF!</definedName>
    <definedName name="____Ser200705" localSheetId="6">#REF!</definedName>
    <definedName name="____Ser200705">#REF!</definedName>
    <definedName name="____Ser200712" localSheetId="7">#REF!</definedName>
    <definedName name="____Ser200712" localSheetId="2">#REF!</definedName>
    <definedName name="____Ser200712" localSheetId="6">#REF!</definedName>
    <definedName name="____Ser200712">#REF!</definedName>
    <definedName name="____Ser201104" localSheetId="7">#REF!</definedName>
    <definedName name="____Ser201104" localSheetId="2">#REF!</definedName>
    <definedName name="____Ser201104" localSheetId="6">#REF!</definedName>
    <definedName name="____Ser201104">#REF!</definedName>
    <definedName name="____TR2" localSheetId="7">#REF!</definedName>
    <definedName name="____TR2" localSheetId="2">#REF!</definedName>
    <definedName name="____TR2" localSheetId="6">#REF!</definedName>
    <definedName name="____TR2">#REF!</definedName>
    <definedName name="____TR5" localSheetId="7">#REF!</definedName>
    <definedName name="____TR5" localSheetId="2">#REF!</definedName>
    <definedName name="____TR5" localSheetId="6">#REF!</definedName>
    <definedName name="____TR5">#REF!</definedName>
    <definedName name="___abc2" localSheetId="7">#REF!</definedName>
    <definedName name="___abc2">#REF!</definedName>
    <definedName name="___Ele200502" localSheetId="7">#REF!</definedName>
    <definedName name="___Ele200502" localSheetId="2">#REF!</definedName>
    <definedName name="___Ele200502" localSheetId="3">#REF!</definedName>
    <definedName name="___Ele200502" localSheetId="6">#REF!</definedName>
    <definedName name="___Ele200502">#REF!</definedName>
    <definedName name="___Ele200609" localSheetId="7">#REF!</definedName>
    <definedName name="___Ele200609" localSheetId="2">#REF!</definedName>
    <definedName name="___Ele200609" localSheetId="6">#REF!</definedName>
    <definedName name="___Ele200609">#REF!</definedName>
    <definedName name="___pv2" localSheetId="7">#REF!</definedName>
    <definedName name="___pv2" localSheetId="2">#REF!</definedName>
    <definedName name="___pv2" localSheetId="6">#REF!</definedName>
    <definedName name="___pv2">#REF!</definedName>
    <definedName name="___pv3" localSheetId="7">#REF!</definedName>
    <definedName name="___pv3" localSheetId="2">#REF!</definedName>
    <definedName name="___pv3" localSheetId="6">#REF!</definedName>
    <definedName name="___pv3">#REF!</definedName>
    <definedName name="___REV5" localSheetId="7">#REF!</definedName>
    <definedName name="___REV5" localSheetId="2">#REF!</definedName>
    <definedName name="___REV5" localSheetId="6">#REF!</definedName>
    <definedName name="___REV5">#REF!</definedName>
    <definedName name="___Ser200506" localSheetId="7">#REF!</definedName>
    <definedName name="___Ser200506" localSheetId="2">#REF!</definedName>
    <definedName name="___Ser200506" localSheetId="6">#REF!</definedName>
    <definedName name="___Ser200506">#REF!</definedName>
    <definedName name="___Ser200705" localSheetId="7">#REF!</definedName>
    <definedName name="___Ser200705" localSheetId="2">#REF!</definedName>
    <definedName name="___Ser200705" localSheetId="3">#REF!</definedName>
    <definedName name="___Ser200705" localSheetId="6">#REF!</definedName>
    <definedName name="___Ser200705">#REF!</definedName>
    <definedName name="___Ser200712" localSheetId="7">#REF!</definedName>
    <definedName name="___Ser200712" localSheetId="2">#REF!</definedName>
    <definedName name="___Ser200712" localSheetId="3">#REF!</definedName>
    <definedName name="___Ser200712" localSheetId="6">#REF!</definedName>
    <definedName name="___Ser200712">#REF!</definedName>
    <definedName name="___Ser201104" localSheetId="7">#REF!</definedName>
    <definedName name="___Ser201104" localSheetId="2">#REF!</definedName>
    <definedName name="___Ser201104" localSheetId="3">#REF!</definedName>
    <definedName name="___Ser201104" localSheetId="6">#REF!</definedName>
    <definedName name="___Ser201104">#REF!</definedName>
    <definedName name="___TR2" localSheetId="7">#REF!</definedName>
    <definedName name="___TR2" localSheetId="2">#REF!</definedName>
    <definedName name="___TR2" localSheetId="3">#REF!</definedName>
    <definedName name="___TR2" localSheetId="6">#REF!</definedName>
    <definedName name="___TR2">#REF!</definedName>
    <definedName name="___TR5" localSheetId="7">#REF!</definedName>
    <definedName name="___TR5" localSheetId="2">#REF!</definedName>
    <definedName name="___TR5" localSheetId="3">#REF!</definedName>
    <definedName name="___TR5" localSheetId="6">#REF!</definedName>
    <definedName name="___TR5">#REF!</definedName>
    <definedName name="__abc2" localSheetId="7">#REF!</definedName>
    <definedName name="__abc2">#REF!</definedName>
    <definedName name="__Ele200502" localSheetId="7">#REF!</definedName>
    <definedName name="__Ele200502" localSheetId="2">#REF!</definedName>
    <definedName name="__Ele200502" localSheetId="6">#REF!</definedName>
    <definedName name="__Ele200502">#REF!</definedName>
    <definedName name="__Ele200609" localSheetId="7">#REF!</definedName>
    <definedName name="__Ele200609" localSheetId="2">#REF!</definedName>
    <definedName name="__Ele200609" localSheetId="6">#REF!</definedName>
    <definedName name="__Ele200609">#REF!</definedName>
    <definedName name="__pv2" localSheetId="7">#REF!</definedName>
    <definedName name="__pv2" localSheetId="2">#REF!</definedName>
    <definedName name="__pv2" localSheetId="6">#REF!</definedName>
    <definedName name="__pv2">#REF!</definedName>
    <definedName name="__pv3" localSheetId="7">#REF!</definedName>
    <definedName name="__pv3" localSheetId="2">#REF!</definedName>
    <definedName name="__pv3" localSheetId="3">#REF!</definedName>
    <definedName name="__pv3" localSheetId="6">#REF!</definedName>
    <definedName name="__pv3">#REF!</definedName>
    <definedName name="__REV5" localSheetId="7">#REF!</definedName>
    <definedName name="__REV5" localSheetId="2">#REF!</definedName>
    <definedName name="__REV5" localSheetId="6">#REF!</definedName>
    <definedName name="__REV5">#REF!</definedName>
    <definedName name="__Ser200506" localSheetId="7">#REF!</definedName>
    <definedName name="__Ser200506" localSheetId="2">#REF!</definedName>
    <definedName name="__Ser200506" localSheetId="6">#REF!</definedName>
    <definedName name="__Ser200506">#REF!</definedName>
    <definedName name="__Ser200705" localSheetId="7">#REF!</definedName>
    <definedName name="__Ser200705" localSheetId="2">#REF!</definedName>
    <definedName name="__Ser200705" localSheetId="6">#REF!</definedName>
    <definedName name="__Ser200705">#REF!</definedName>
    <definedName name="__Ser200712" localSheetId="7">#REF!</definedName>
    <definedName name="__Ser200712" localSheetId="2">#REF!</definedName>
    <definedName name="__Ser200712" localSheetId="6">#REF!</definedName>
    <definedName name="__Ser200712">#REF!</definedName>
    <definedName name="__Ser201104" localSheetId="7">#REF!</definedName>
    <definedName name="__Ser201104" localSheetId="2">#REF!</definedName>
    <definedName name="__Ser201104" localSheetId="6">#REF!</definedName>
    <definedName name="__Ser201104">#REF!</definedName>
    <definedName name="__TR2" localSheetId="7">#REF!</definedName>
    <definedName name="__TR2" localSheetId="2">#REF!</definedName>
    <definedName name="__TR2" localSheetId="6">#REF!</definedName>
    <definedName name="__TR2">#REF!</definedName>
    <definedName name="__TR5" localSheetId="7">#REF!</definedName>
    <definedName name="__TR5" localSheetId="2">#REF!</definedName>
    <definedName name="__TR5" localSheetId="6">#REF!</definedName>
    <definedName name="__TR5">#REF!</definedName>
    <definedName name="_1Excel_BuiltIn_Print_Area_1_1" localSheetId="7">#REF!</definedName>
    <definedName name="_1Excel_BuiltIn_Print_Area_1_1">#REF!</definedName>
    <definedName name="_2Excel_BuiltIn_Print_Area_2_1" localSheetId="7">[2]Estrutura!#REF!</definedName>
    <definedName name="_2Excel_BuiltIn_Print_Area_2_1">[2]Estrutura!#REF!</definedName>
    <definedName name="_3Excel_BuiltIn_Print_Area_4_1" localSheetId="5">#REF!</definedName>
    <definedName name="_3Excel_BuiltIn_Print_Area_4_1" localSheetId="7">#REF!</definedName>
    <definedName name="_3Excel_BuiltIn_Print_Area_4_1" localSheetId="6">#REF!</definedName>
    <definedName name="_3Excel_BuiltIn_Print_Area_4_1">#REF!</definedName>
    <definedName name="_4Excel_BuiltIn_Print_Area_1_1" localSheetId="7">#REF!</definedName>
    <definedName name="_4Excel_BuiltIn_Print_Area_1_1" localSheetId="6">#REF!</definedName>
    <definedName name="_4Excel_BuiltIn_Print_Area_1_1">#REF!</definedName>
    <definedName name="_6Excel_BuiltIn_Print_Area_4_1" localSheetId="7">#REF!</definedName>
    <definedName name="_6Excel_BuiltIn_Print_Area_4_1" localSheetId="6">#REF!</definedName>
    <definedName name="_6Excel_BuiltIn_Print_Area_4_1">#REF!</definedName>
    <definedName name="_abc2" localSheetId="7">#REF!</definedName>
    <definedName name="_abc2" localSheetId="2">#REF!</definedName>
    <definedName name="_abc2" localSheetId="6">#REF!</definedName>
    <definedName name="_abc2">#REF!</definedName>
    <definedName name="_Ele200502" localSheetId="7">#REF!</definedName>
    <definedName name="_Ele200502" localSheetId="2">#REF!</definedName>
    <definedName name="_Ele200502" localSheetId="6">#REF!</definedName>
    <definedName name="_Ele200502">#REF!</definedName>
    <definedName name="_Ele200609" localSheetId="7">#REF!</definedName>
    <definedName name="_Ele200609" localSheetId="2">#REF!</definedName>
    <definedName name="_Ele200609" localSheetId="6">#REF!</definedName>
    <definedName name="_Ele200609">#REF!</definedName>
    <definedName name="_xlnm._FilterDatabase" localSheetId="7" hidden="1">BDI!$B$2:$B$32</definedName>
    <definedName name="_xlnm._FilterDatabase" localSheetId="0" hidden="1">Orçamento!$B$11:$I$105</definedName>
    <definedName name="_pv2" localSheetId="7">#REF!</definedName>
    <definedName name="_pv2" localSheetId="2">#REF!</definedName>
    <definedName name="_pv2" localSheetId="6">#REF!</definedName>
    <definedName name="_pv2">#REF!</definedName>
    <definedName name="_pv3" localSheetId="7">#REF!</definedName>
    <definedName name="_pv3" localSheetId="2">#REF!</definedName>
    <definedName name="_pv3" localSheetId="3">#REF!</definedName>
    <definedName name="_pv3" localSheetId="6">#REF!</definedName>
    <definedName name="_pv3">#REF!</definedName>
    <definedName name="_REV5" localSheetId="7">#REF!</definedName>
    <definedName name="_REV5" localSheetId="2">#REF!</definedName>
    <definedName name="_REV5" localSheetId="6">#REF!</definedName>
    <definedName name="_REV5">#REF!</definedName>
    <definedName name="_Ser200506" localSheetId="7">#REF!</definedName>
    <definedName name="_Ser200506" localSheetId="2">#REF!</definedName>
    <definedName name="_Ser200506" localSheetId="6">#REF!</definedName>
    <definedName name="_Ser200506">#REF!</definedName>
    <definedName name="_Ser200705" localSheetId="7">#REF!</definedName>
    <definedName name="_Ser200705" localSheetId="2">#REF!</definedName>
    <definedName name="_Ser200705" localSheetId="6">#REF!</definedName>
    <definedName name="_Ser200705">#REF!</definedName>
    <definedName name="_Ser200712" localSheetId="7">#REF!</definedName>
    <definedName name="_Ser200712" localSheetId="2">#REF!</definedName>
    <definedName name="_Ser200712" localSheetId="6">#REF!</definedName>
    <definedName name="_Ser200712">#REF!</definedName>
    <definedName name="_Ser201104" localSheetId="7">#REF!</definedName>
    <definedName name="_Ser201104" localSheetId="2">#REF!</definedName>
    <definedName name="_Ser201104" localSheetId="6">#REF!</definedName>
    <definedName name="_Ser201104">#REF!</definedName>
    <definedName name="_TR2" localSheetId="7">#REF!</definedName>
    <definedName name="_TR2" localSheetId="2">#REF!</definedName>
    <definedName name="_TR2" localSheetId="6">#REF!</definedName>
    <definedName name="_TR2">#REF!</definedName>
    <definedName name="_TR5" localSheetId="7">#REF!</definedName>
    <definedName name="_TR5" localSheetId="2">#REF!</definedName>
    <definedName name="_TR5" localSheetId="6">#REF!</definedName>
    <definedName name="_TR5">#REF!</definedName>
    <definedName name="A" localSheetId="7">#REF!</definedName>
    <definedName name="A" localSheetId="2">#REF!</definedName>
    <definedName name="A" localSheetId="6">#REF!</definedName>
    <definedName name="A">#REF!</definedName>
    <definedName name="A010160100">'[3]DADOS COLETATO'!$L$9</definedName>
    <definedName name="A010505000">'[3]DADOS COLETATO'!$L$10</definedName>
    <definedName name="A020200010">'[3]DADOS COLETATO'!$L$11</definedName>
    <definedName name="A020200080">'[3]DADOS COLETATO'!$L$12</definedName>
    <definedName name="A03.020.0851">'[3]DADOS COLETATO'!$L$23</definedName>
    <definedName name="A030130010">'[3]DADOS COLETATO'!$L$13</definedName>
    <definedName name="A030130011">'[3]DADOS COLETATO'!$L$14</definedName>
    <definedName name="A030160501">'[3]DADOS COLETATO'!$L$15</definedName>
    <definedName name="A030250100">'[3]DADOS COLETATO'!$L$16</definedName>
    <definedName name="A040050130">'[3]DADOS COLETATO'!$L$17</definedName>
    <definedName name="A040110511">'[3]DADOS COLETATO'!$L$18</definedName>
    <definedName name="A050150050">'[3]DADOS COLETATO'!$L$19</definedName>
    <definedName name="A050200140">'[3]DADOS COLETATO'!$L$20</definedName>
    <definedName name="A050210050">'[3]DADOS COLETATO'!$L$21</definedName>
    <definedName name="A050210100">'[3]DADOS COLETATO'!$L$22</definedName>
    <definedName name="A050210750">'[3]DADOS COLETATO'!$O$9</definedName>
    <definedName name="a06.004.0320">'[3]DADOS COLETATO'!$O$23</definedName>
    <definedName name="A060030500">'[3]DADOS COLETATO'!$O$10</definedName>
    <definedName name="A060040300">'[3]DADOS COLETATO'!$O$11</definedName>
    <definedName name="A060140120">'[3]DADOS COLETATO'!$O$12</definedName>
    <definedName name="A060160120">'[3]DADOS COLETATO'!$O$13</definedName>
    <definedName name="A060160410">'[3]DADOS COLETATO'!$O$14</definedName>
    <definedName name="A080010030">'[3]DADOS COLETATO'!$O$15</definedName>
    <definedName name="A080150100">'[3]DADOS COLETATO'!$O$16</definedName>
    <definedName name="A080270120">'[3]DADOS COLETATO'!$O$17</definedName>
    <definedName name="A150010310">'[3]DADOS COLETATO'!$O$18</definedName>
    <definedName name="A200040031">'[3]DADOS COLETATO'!$O$19</definedName>
    <definedName name="A200090011">'[3]DADOS COLETATO'!$O$20</definedName>
    <definedName name="A200280200">'[3]DADOS COLETATO'!$O$21</definedName>
    <definedName name="aa" localSheetId="7">#REF!</definedName>
    <definedName name="aa" localSheetId="2">#REF!</definedName>
    <definedName name="aa" localSheetId="6">#REF!</definedName>
    <definedName name="aa">#REF!</definedName>
    <definedName name="aaa" localSheetId="7">#REF!</definedName>
    <definedName name="aaa" localSheetId="2">#REF!</definedName>
    <definedName name="aaa" localSheetId="6">#REF!</definedName>
    <definedName name="aaa">#REF!</definedName>
    <definedName name="abc" localSheetId="7">#REF!</definedName>
    <definedName name="abc" localSheetId="2">#REF!</definedName>
    <definedName name="abc" localSheetId="6">#REF!</definedName>
    <definedName name="abc">#REF!</definedName>
    <definedName name="Abrigo_moto_gerador_consulta" localSheetId="7">#REF!</definedName>
    <definedName name="Abrigo_moto_gerador_consulta" localSheetId="2">#REF!</definedName>
    <definedName name="Abrigo_moto_gerador_consulta" localSheetId="6">#REF!</definedName>
    <definedName name="Abrigo_moto_gerador_consulta">#REF!</definedName>
    <definedName name="Acesso_Estacao_01" localSheetId="7">#REF!</definedName>
    <definedName name="Acesso_Estacao_01" localSheetId="2">#REF!</definedName>
    <definedName name="Acesso_Estacao_01" localSheetId="6">#REF!</definedName>
    <definedName name="Acesso_Estacao_01">#REF!</definedName>
    <definedName name="adfv" localSheetId="7">#REF!</definedName>
    <definedName name="adfv" localSheetId="2">#REF!</definedName>
    <definedName name="adfv" localSheetId="6">#REF!</definedName>
    <definedName name="adfv">#REF!</definedName>
    <definedName name="Administração" localSheetId="7">#REF!</definedName>
    <definedName name="Administração" localSheetId="2">#REF!</definedName>
    <definedName name="Administração" localSheetId="6">#REF!</definedName>
    <definedName name="Administração">#REF!</definedName>
    <definedName name="alturadocorte">'[3]DADOS COLETATO'!$G$9</definedName>
    <definedName name="_xlnm.Print_Area" localSheetId="5">ADM!$B$2:$J$63</definedName>
    <definedName name="_xlnm.Print_Area" localSheetId="7">BDI!$C$2:$Q$26</definedName>
    <definedName name="_xlnm.Print_Area" localSheetId="4">Cronograma!$A$1:$M$44</definedName>
    <definedName name="_xlnm.Print_Area" localSheetId="2">Drenagem!$H$2:$BQ$306</definedName>
    <definedName name="_xlnm.Print_Area" localSheetId="0">Orçamento!$A$1:$J$121</definedName>
    <definedName name="_xlnm.Print_Area" localSheetId="3">Pavimentação!$A$1:$AC$26</definedName>
    <definedName name="_xlnm.Print_Area" localSheetId="6">'QCI '!$B$2:$P$20</definedName>
    <definedName name="_xlnm.Print_Area" localSheetId="1">Quant.!$B$2:$K$313</definedName>
    <definedName name="_xlnm.Print_Area">#REF!</definedName>
    <definedName name="_xlnm.Database" localSheetId="5">#REF!</definedName>
    <definedName name="_xlnm.Database" localSheetId="7">#REF!</definedName>
    <definedName name="_xlnm.Database" localSheetId="2">#REF!</definedName>
    <definedName name="_xlnm.Database" localSheetId="6">#REF!</definedName>
    <definedName name="_xlnm.Database">#REF!</definedName>
    <definedName name="BASICO" localSheetId="5">#REF!</definedName>
    <definedName name="BASICO" localSheetId="7">#REF!</definedName>
    <definedName name="BASICO" localSheetId="2">#REF!</definedName>
    <definedName name="BASICO" localSheetId="6">#REF!</definedName>
    <definedName name="BASICO">#REF!</definedName>
    <definedName name="botafora">'[3]DADOS COLETATO'!$C$40</definedName>
    <definedName name="brita">'[3]DADOS COLETATO'!$G$10</definedName>
    <definedName name="bstc20">'[3]DADOS COLETATO'!$I$31</definedName>
    <definedName name="bstc40">'[3]DADOS COLETATO'!$I$30</definedName>
    <definedName name="bstc60">'[3]DADOS COLETATO'!$I$29</definedName>
    <definedName name="bstc80">'[3]DADOS COLETATO'!$I$28</definedName>
    <definedName name="C_" localSheetId="5">#REF!</definedName>
    <definedName name="C_" localSheetId="7">#REF!</definedName>
    <definedName name="C_" localSheetId="2">#REF!</definedName>
    <definedName name="C_" localSheetId="6">#REF!</definedName>
    <definedName name="C_">#REF!</definedName>
    <definedName name="caixadecentro">'[3]DADOS COLETATO'!$C$28</definedName>
    <definedName name="Casa_de_maquinas" localSheetId="7">#REF!</definedName>
    <definedName name="Casa_de_maquinas" localSheetId="2">#REF!</definedName>
    <definedName name="Casa_de_maquinas" localSheetId="6">#REF!</definedName>
    <definedName name="Casa_de_maquinas">#REF!</definedName>
    <definedName name="CERCA" localSheetId="5">#REF!</definedName>
    <definedName name="CERCA" localSheetId="7">#REF!</definedName>
    <definedName name="CERCA" localSheetId="2">#REF!</definedName>
    <definedName name="CERCA" localSheetId="6">#REF!</definedName>
    <definedName name="CERCA">#REF!</definedName>
    <definedName name="Cisterna_e_Castelo_d_agua_Consulta" localSheetId="7">#REF!</definedName>
    <definedName name="Cisterna_e_Castelo_d_agua_Consulta" localSheetId="2">#REF!</definedName>
    <definedName name="Cisterna_e_Castelo_d_agua_Consulta" localSheetId="6">#REF!</definedName>
    <definedName name="Cisterna_e_Castelo_d_agua_Consulta">#REF!</definedName>
    <definedName name="CLIENTE" localSheetId="7">#REF!</definedName>
    <definedName name="CLIENTE" localSheetId="2">#REF!</definedName>
    <definedName name="CLIENTE" localSheetId="6">#REF!</definedName>
    <definedName name="CLIENTE">#REF!</definedName>
    <definedName name="Codigos" localSheetId="7">#REF!</definedName>
    <definedName name="Codigos" localSheetId="2">#REF!</definedName>
    <definedName name="Codigos" localSheetId="6">#REF!</definedName>
    <definedName name="Codigos">#REF!</definedName>
    <definedName name="COMPRA" localSheetId="7">#REF!</definedName>
    <definedName name="COMPRA" localSheetId="2">#REF!</definedName>
    <definedName name="COMPRA" localSheetId="6">#REF!</definedName>
    <definedName name="COMPRA">#REF!</definedName>
    <definedName name="COMPRAS" localSheetId="7">#REF!</definedName>
    <definedName name="COMPRAS" localSheetId="2">#REF!</definedName>
    <definedName name="COMPRAS" localSheetId="6">#REF!</definedName>
    <definedName name="COMPRAS">#REF!</definedName>
    <definedName name="COMPRIM" localSheetId="7">#REF!</definedName>
    <definedName name="COMPRIM" localSheetId="2">#REF!</definedName>
    <definedName name="COMPRIM" localSheetId="6">#REF!</definedName>
    <definedName name="COMPRIM">#REF!</definedName>
    <definedName name="comprimento">'[3]DADOS COLETATO'!$E$11</definedName>
    <definedName name="Construcao_Casa_Maq_Plano_Inclinado" localSheetId="7">#REF!</definedName>
    <definedName name="Construcao_Casa_Maq_Plano_Inclinado" localSheetId="2">#REF!</definedName>
    <definedName name="Construcao_Casa_Maq_Plano_Inclinado" localSheetId="6">#REF!</definedName>
    <definedName name="Construcao_Casa_Maq_Plano_Inclinado">#REF!</definedName>
    <definedName name="Construcao_de_Acesso_a_Estacao_I">'[4]12.1'!$A$8:$F$105</definedName>
    <definedName name="Construcao_do_acesso_a_Estacao_I" localSheetId="7">#REF!</definedName>
    <definedName name="Construcao_do_acesso_a_Estacao_I" localSheetId="2">#REF!</definedName>
    <definedName name="Construcao_do_acesso_a_Estacao_I" localSheetId="6">#REF!</definedName>
    <definedName name="Construcao_do_acesso_a_Estacao_I">#REF!</definedName>
    <definedName name="Construcao_Escadaria_Apoio" localSheetId="7">#REF!</definedName>
    <definedName name="Construcao_Escadaria_Apoio" localSheetId="2">#REF!</definedName>
    <definedName name="Construcao_Escadaria_Apoio" localSheetId="6">#REF!</definedName>
    <definedName name="Construcao_Escadaria_Apoio">#REF!</definedName>
    <definedName name="Contencao" localSheetId="7">#REF!</definedName>
    <definedName name="Contencao" localSheetId="2">#REF!</definedName>
    <definedName name="Contencao" localSheetId="6">#REF!</definedName>
    <definedName name="Contencao">#REF!</definedName>
    <definedName name="Contencao_" localSheetId="7">#REF!</definedName>
    <definedName name="Contencao_" localSheetId="2">#REF!</definedName>
    <definedName name="Contencao_" localSheetId="6">#REF!</definedName>
    <definedName name="Contencao_">#REF!</definedName>
    <definedName name="Corte1" localSheetId="7">#REF!</definedName>
    <definedName name="Corte1" localSheetId="2">#REF!</definedName>
    <definedName name="Corte1" localSheetId="6">#REF!</definedName>
    <definedName name="Corte1">#REF!</definedName>
    <definedName name="cpartida" localSheetId="7">#REF!</definedName>
    <definedName name="cpartida" localSheetId="2">#REF!</definedName>
    <definedName name="cpartida" localSheetId="6">#REF!</definedName>
    <definedName name="cpartida">#REF!</definedName>
    <definedName name="DATA" localSheetId="7">#REF!</definedName>
    <definedName name="DATA" localSheetId="2">#REF!</definedName>
    <definedName name="DATA" localSheetId="6">#REF!</definedName>
    <definedName name="DATA">#REF!</definedName>
    <definedName name="Dem_Lavanderia" localSheetId="7">#REF!</definedName>
    <definedName name="Dem_Lavanderia" localSheetId="2">#REF!</definedName>
    <definedName name="Dem_Lavanderia" localSheetId="6">#REF!</definedName>
    <definedName name="Dem_Lavanderia">#REF!</definedName>
    <definedName name="Demolicao_de_Guarita_Consulta" localSheetId="7">#REF!</definedName>
    <definedName name="Demolicao_de_Guarita_Consulta" localSheetId="2">#REF!</definedName>
    <definedName name="Demolicao_de_Guarita_Consulta" localSheetId="6">#REF!</definedName>
    <definedName name="Demolicao_de_Guarita_Consulta">#REF!</definedName>
    <definedName name="Demolicao_Lavanderia_Existente" localSheetId="7">#REF!</definedName>
    <definedName name="Demolicao_Lavanderia_Existente" localSheetId="2">#REF!</definedName>
    <definedName name="Demolicao_Lavanderia_Existente" localSheetId="6">#REF!</definedName>
    <definedName name="Demolicao_Lavanderia_Existente">#REF!</definedName>
    <definedName name="Descricao" localSheetId="7">#REF!</definedName>
    <definedName name="Descricao" localSheetId="2">#REF!</definedName>
    <definedName name="Descricao" localSheetId="6">#REF!</definedName>
    <definedName name="Descricao">#REF!</definedName>
    <definedName name="DEZEMBRO06" localSheetId="5">#REF!</definedName>
    <definedName name="DEZEMBRO06" localSheetId="7">#REF!</definedName>
    <definedName name="DEZEMBRO06" localSheetId="2">#REF!</definedName>
    <definedName name="DEZEMBRO06" localSheetId="6">#REF!</definedName>
    <definedName name="DEZEMBRO06">#REF!</definedName>
    <definedName name="dfg" localSheetId="7">'[5]BLOCOS ANCORAGEM'!#REF!</definedName>
    <definedName name="dfg" localSheetId="2">'[5]BLOCOS ANCORAGEM'!#REF!</definedName>
    <definedName name="dfg" localSheetId="6">'[5]BLOCOS ANCORAGEM'!#REF!</definedName>
    <definedName name="dfg">'[5]BLOCOS ANCORAGEM'!#REF!</definedName>
    <definedName name="DRENAGEM" localSheetId="7">#REF!</definedName>
    <definedName name="DRENAGEM" localSheetId="2">#REF!</definedName>
    <definedName name="DRENAGEM" localSheetId="6">#REF!</definedName>
    <definedName name="DRENAGEM">#REF!</definedName>
    <definedName name="DTEE" localSheetId="7">#REF!</definedName>
    <definedName name="DTEE" localSheetId="2">#REF!</definedName>
    <definedName name="DTEE" localSheetId="6">#REF!</definedName>
    <definedName name="DTEE">#REF!</definedName>
    <definedName name="DTEP" localSheetId="7">#REF!</definedName>
    <definedName name="DTEP" localSheetId="2">#REF!</definedName>
    <definedName name="DTEP" localSheetId="6">#REF!</definedName>
    <definedName name="DTEP">#REF!</definedName>
    <definedName name="DTET" localSheetId="7">#REF!</definedName>
    <definedName name="DTET" localSheetId="2">#REF!</definedName>
    <definedName name="DTET" localSheetId="6">#REF!</definedName>
    <definedName name="DTET">#REF!</definedName>
    <definedName name="DTFE" localSheetId="7">#REF!</definedName>
    <definedName name="DTFE" localSheetId="2">#REF!</definedName>
    <definedName name="DTFE" localSheetId="6">#REF!</definedName>
    <definedName name="DTFE">#REF!</definedName>
    <definedName name="DTFM" localSheetId="7">#REF!</definedName>
    <definedName name="DTFM" localSheetId="2">#REF!</definedName>
    <definedName name="DTFM" localSheetId="6">#REF!</definedName>
    <definedName name="DTFM">#REF!</definedName>
    <definedName name="DTL" localSheetId="7">#REF!</definedName>
    <definedName name="DTL" localSheetId="2">#REF!</definedName>
    <definedName name="DTL" localSheetId="6">#REF!</definedName>
    <definedName name="DTL">#REF!</definedName>
    <definedName name="edital" localSheetId="7">#REF!</definedName>
    <definedName name="edital" localSheetId="6">#REF!</definedName>
    <definedName name="edital">#REF!</definedName>
    <definedName name="ELEMVS07" localSheetId="7">#REF!</definedName>
    <definedName name="ELEMVS07" localSheetId="2">#REF!</definedName>
    <definedName name="ELEMVS07" localSheetId="6">#REF!</definedName>
    <definedName name="ELEMVS07">#REF!</definedName>
    <definedName name="Eletric" localSheetId="7">[6]Fundação!#REF!</definedName>
    <definedName name="Eletric" localSheetId="6">[6]Fundação!#REF!</definedName>
    <definedName name="Eletric">[6]Fundação!#REF!</definedName>
    <definedName name="ELEVATÓRIAS" localSheetId="5">#REF!</definedName>
    <definedName name="ELEVATÓRIAS" localSheetId="7">#REF!</definedName>
    <definedName name="ELEVATÓRIAS" localSheetId="2">#REF!</definedName>
    <definedName name="ELEVATÓRIAS" localSheetId="6">#REF!</definedName>
    <definedName name="ELEVATÓRIAS">#REF!</definedName>
    <definedName name="EMBAL" localSheetId="7">#REF!</definedName>
    <definedName name="EMBAL" localSheetId="2">#REF!</definedName>
    <definedName name="EMBAL" localSheetId="6">#REF!</definedName>
    <definedName name="EMBAL">#REF!</definedName>
    <definedName name="Embalagem" localSheetId="7">#REF!</definedName>
    <definedName name="Embalagem" localSheetId="2">#REF!</definedName>
    <definedName name="Embalagem" localSheetId="6">#REF!</definedName>
    <definedName name="Embalagem">#REF!</definedName>
    <definedName name="empolamento">'[3]DADOS COLETATO'!$I$41</definedName>
    <definedName name="ENG" localSheetId="7">#REF!</definedName>
    <definedName name="ENG" localSheetId="2">#REF!</definedName>
    <definedName name="ENG" localSheetId="6">#REF!</definedName>
    <definedName name="ENG">#REF!</definedName>
    <definedName name="Escadaria" localSheetId="7">#REF!</definedName>
    <definedName name="Escadaria" localSheetId="2">#REF!</definedName>
    <definedName name="Escadaria" localSheetId="6">#REF!</definedName>
    <definedName name="Escadaria">#REF!</definedName>
    <definedName name="ESCMAN" localSheetId="5">#REF!</definedName>
    <definedName name="ESCMAN" localSheetId="7">#REF!</definedName>
    <definedName name="ESCMAN" localSheetId="2">#REF!</definedName>
    <definedName name="ESCMAN" localSheetId="6">#REF!</definedName>
    <definedName name="ESCMAN">#REF!</definedName>
    <definedName name="ESCRITÓRIO" localSheetId="5">#REF!</definedName>
    <definedName name="ESCRITÓRIO" localSheetId="7">#REF!</definedName>
    <definedName name="ESCRITÓRIO" localSheetId="2">#REF!</definedName>
    <definedName name="ESCRITÓRIO" localSheetId="6">#REF!</definedName>
    <definedName name="ESCRITÓRIO">#REF!</definedName>
    <definedName name="ESGOTO" localSheetId="5">#REF!</definedName>
    <definedName name="ESGOTO" localSheetId="7">#REF!</definedName>
    <definedName name="ESGOTO" localSheetId="2">#REF!</definedName>
    <definedName name="ESGOTO" localSheetId="6">#REF!</definedName>
    <definedName name="ESGOTO">#REF!</definedName>
    <definedName name="ESSENCIAIS" localSheetId="5">'[5]BLOCOS ANCORAGEM'!#REF!</definedName>
    <definedName name="ESSENCIAIS" localSheetId="7">'[5]BLOCOS ANCORAGEM'!#REF!</definedName>
    <definedName name="ESSENCIAIS" localSheetId="2">'[5]BLOCOS ANCORAGEM'!#REF!</definedName>
    <definedName name="ESSENCIAIS" localSheetId="6">'[5]BLOCOS ANCORAGEM'!#REF!</definedName>
    <definedName name="ESSENCIAIS">'[5]BLOCOS ANCORAGEM'!#REF!</definedName>
    <definedName name="Estacao_01" localSheetId="7">#REF!</definedName>
    <definedName name="Estacao_01" localSheetId="2">#REF!</definedName>
    <definedName name="Estacao_01" localSheetId="6">#REF!</definedName>
    <definedName name="Estacao_01">#REF!</definedName>
    <definedName name="Estacao_02" localSheetId="7">#REF!</definedName>
    <definedName name="Estacao_02" localSheetId="2">#REF!</definedName>
    <definedName name="Estacao_02" localSheetId="6">#REF!</definedName>
    <definedName name="Estacao_02">#REF!</definedName>
    <definedName name="Estacao_03" localSheetId="7">#REF!</definedName>
    <definedName name="Estacao_03" localSheetId="2">#REF!</definedName>
    <definedName name="Estacao_03" localSheetId="6">#REF!</definedName>
    <definedName name="Estacao_03">#REF!</definedName>
    <definedName name="Estacao_04" localSheetId="7">#REF!</definedName>
    <definedName name="Estacao_04" localSheetId="2">#REF!</definedName>
    <definedName name="Estacao_04" localSheetId="6">#REF!</definedName>
    <definedName name="Estacao_04">#REF!</definedName>
    <definedName name="Estacao_05" localSheetId="7">#REF!</definedName>
    <definedName name="Estacao_05" localSheetId="2">#REF!</definedName>
    <definedName name="Estacao_05" localSheetId="6">#REF!</definedName>
    <definedName name="Estacao_05">#REF!</definedName>
    <definedName name="ETE" localSheetId="5">#REF!</definedName>
    <definedName name="ETE" localSheetId="7">#REF!</definedName>
    <definedName name="ETE" localSheetId="2">#REF!</definedName>
    <definedName name="ETE" localSheetId="6">#REF!</definedName>
    <definedName name="ETE">#REF!</definedName>
    <definedName name="Excel_BuiltIn_Print_Area_1" localSheetId="7">[7]Fundação!#REF!</definedName>
    <definedName name="Excel_BuiltIn_Print_Area_1" localSheetId="6">[7]Fundação!#REF!</definedName>
    <definedName name="Excel_BuiltIn_Print_Area_1">[7]Fundação!#REF!</definedName>
    <definedName name="Excel_BuiltIn_Print_Area_1_1" localSheetId="7">[8]Fundação!#REF!</definedName>
    <definedName name="Excel_BuiltIn_Print_Area_1_1" localSheetId="6">[8]Fundação!#REF!</definedName>
    <definedName name="Excel_BuiltIn_Print_Area_1_1">[8]Fundação!#REF!</definedName>
    <definedName name="Excel_BuiltIn_Print_Area_1_1_1" localSheetId="5">#REF!</definedName>
    <definedName name="Excel_BuiltIn_Print_Area_1_1_1" localSheetId="7">#REF!</definedName>
    <definedName name="Excel_BuiltIn_Print_Area_1_1_1" localSheetId="6">#REF!</definedName>
    <definedName name="Excel_BuiltIn_Print_Area_1_1_1">#REF!</definedName>
    <definedName name="Excel_BuiltIn_Print_Area_1_1_5" localSheetId="7">#REF!</definedName>
    <definedName name="Excel_BuiltIn_Print_Area_1_1_5" localSheetId="6">#REF!</definedName>
    <definedName name="Excel_BuiltIn_Print_Area_1_1_5">#REF!</definedName>
    <definedName name="Excel_BuiltIn_Print_Area_1_1_6" localSheetId="7">#REF!</definedName>
    <definedName name="Excel_BuiltIn_Print_Area_1_1_6" localSheetId="6">#REF!</definedName>
    <definedName name="Excel_BuiltIn_Print_Area_1_1_6">#REF!</definedName>
    <definedName name="Excel_BuiltIn_Print_Area_1_6" localSheetId="7">[9]_file____C__Meus_20documentos_S!#REF!</definedName>
    <definedName name="Excel_BuiltIn_Print_Area_1_6" localSheetId="6">[9]_file____C__Meus_20documentos_S!#REF!</definedName>
    <definedName name="Excel_BuiltIn_Print_Area_1_6">[9]_file____C__Meus_20documentos_S!#REF!</definedName>
    <definedName name="Excel_BuiltIn_Print_Area_1_7" localSheetId="7">[9]_file____C__Meus_20documentos_S!#REF!</definedName>
    <definedName name="Excel_BuiltIn_Print_Area_1_7" localSheetId="6">[9]_file____C__Meus_20documentos_S!#REF!</definedName>
    <definedName name="Excel_BuiltIn_Print_Area_1_7">[9]_file____C__Meus_20documentos_S!#REF!</definedName>
    <definedName name="Excel_BuiltIn_Print_Area_1_8" localSheetId="7">[9]_file____C__Meus_20documentos_S!#REF!</definedName>
    <definedName name="Excel_BuiltIn_Print_Area_1_8" localSheetId="6">[9]_file____C__Meus_20documentos_S!#REF!</definedName>
    <definedName name="Excel_BuiltIn_Print_Area_1_8">[9]_file____C__Meus_20documentos_S!#REF!</definedName>
    <definedName name="Excel_BuiltIn_Print_Area_1_9" localSheetId="7">[9]_file____C__Meus_20documentos_S!#REF!</definedName>
    <definedName name="Excel_BuiltIn_Print_Area_1_9" localSheetId="6">[9]_file____C__Meus_20documentos_S!#REF!</definedName>
    <definedName name="Excel_BuiltIn_Print_Area_1_9">[9]_file____C__Meus_20documentos_S!#REF!</definedName>
    <definedName name="Excel_BuiltIn_Print_Area_2" localSheetId="7">[7]Estrutura!#REF!</definedName>
    <definedName name="Excel_BuiltIn_Print_Area_2" localSheetId="6">[7]Estrutura!#REF!</definedName>
    <definedName name="Excel_BuiltIn_Print_Area_2">[7]Estrutura!#REF!</definedName>
    <definedName name="Excel_BuiltIn_Print_Area_2_1" localSheetId="7">[9]Estrutura!#REF!</definedName>
    <definedName name="Excel_BuiltIn_Print_Area_2_1" localSheetId="6">[9]Estrutura!#REF!</definedName>
    <definedName name="Excel_BuiltIn_Print_Area_2_1">[9]Estrutura!#REF!</definedName>
    <definedName name="Excel_BuiltIn_Print_Area_2_6" localSheetId="7">[9]_file____C__Meus_20documentos_S!#REF!</definedName>
    <definedName name="Excel_BuiltIn_Print_Area_2_6" localSheetId="6">[9]_file____C__Meus_20documentos_S!#REF!</definedName>
    <definedName name="Excel_BuiltIn_Print_Area_2_6">[9]_file____C__Meus_20documentos_S!#REF!</definedName>
    <definedName name="Excel_BuiltIn_Print_Area_2_7" localSheetId="7">[9]_file____C__Meus_20documentos_S!#REF!</definedName>
    <definedName name="Excel_BuiltIn_Print_Area_2_7" localSheetId="6">[9]_file____C__Meus_20documentos_S!#REF!</definedName>
    <definedName name="Excel_BuiltIn_Print_Area_2_7">[9]_file____C__Meus_20documentos_S!#REF!</definedName>
    <definedName name="Excel_BuiltIn_Print_Area_2_8" localSheetId="7">[9]_file____C__Meus_20documentos_S!#REF!</definedName>
    <definedName name="Excel_BuiltIn_Print_Area_2_8" localSheetId="6">[9]_file____C__Meus_20documentos_S!#REF!</definedName>
    <definedName name="Excel_BuiltIn_Print_Area_2_8">[9]_file____C__Meus_20documentos_S!#REF!</definedName>
    <definedName name="Excel_BuiltIn_Print_Area_2_9" localSheetId="7">[9]_file____C__Meus_20documentos_S!#REF!</definedName>
    <definedName name="Excel_BuiltIn_Print_Area_2_9" localSheetId="6">[9]_file____C__Meus_20documentos_S!#REF!</definedName>
    <definedName name="Excel_BuiltIn_Print_Area_2_9">[9]_file____C__Meus_20documentos_S!#REF!</definedName>
    <definedName name="Excel_BuiltIn_Print_Area_3" localSheetId="5">#REF!</definedName>
    <definedName name="Excel_BuiltIn_Print_Area_3" localSheetId="7">#REF!</definedName>
    <definedName name="Excel_BuiltIn_Print_Area_3" localSheetId="6">#REF!</definedName>
    <definedName name="Excel_BuiltIn_Print_Area_3">#REF!</definedName>
    <definedName name="Excel_BuiltIn_Print_Area_4" localSheetId="7">#REF!</definedName>
    <definedName name="Excel_BuiltIn_Print_Area_4" localSheetId="6">#REF!</definedName>
    <definedName name="Excel_BuiltIn_Print_Area_4">#REF!</definedName>
    <definedName name="Excel_BuiltIn_Print_Area_4_1" localSheetId="7">#REF!</definedName>
    <definedName name="Excel_BuiltIn_Print_Area_4_1" localSheetId="6">#REF!</definedName>
    <definedName name="Excel_BuiltIn_Print_Area_4_1">#REF!</definedName>
    <definedName name="Excel_BuiltIn_Print_Area_5" localSheetId="7">#REF!</definedName>
    <definedName name="Excel_BuiltIn_Print_Area_5" localSheetId="6">#REF!</definedName>
    <definedName name="Excel_BuiltIn_Print_Area_5">#REF!</definedName>
    <definedName name="Excel_BuiltIn_Print_Area_6" localSheetId="7">#REF!</definedName>
    <definedName name="Excel_BuiltIn_Print_Area_6" localSheetId="6">#REF!</definedName>
    <definedName name="Excel_BuiltIn_Print_Area_6">#REF!</definedName>
    <definedName name="Excel_BuiltIn_Print_Area_7" localSheetId="7">#REF!</definedName>
    <definedName name="Excel_BuiltIn_Print_Area_7" localSheetId="6">#REF!</definedName>
    <definedName name="Excel_BuiltIn_Print_Area_7">#REF!</definedName>
    <definedName name="Excel_BuiltIn_Print_Area_8" localSheetId="7">#REF!</definedName>
    <definedName name="Excel_BuiltIn_Print_Area_8" localSheetId="6">#REF!</definedName>
    <definedName name="Excel_BuiltIn_Print_Area_8">#REF!</definedName>
    <definedName name="Excel_BuiltIn_Print_Titles_1_1" localSheetId="7">#REF!</definedName>
    <definedName name="Excel_BuiltIn_Print_Titles_1_1" localSheetId="6">#REF!</definedName>
    <definedName name="Excel_BuiltIn_Print_Titles_1_1">#REF!</definedName>
    <definedName name="Excel_BuiltIn_Print_Titles_1_1_5" localSheetId="7">#REF!</definedName>
    <definedName name="Excel_BuiltIn_Print_Titles_1_1_5" localSheetId="6">#REF!</definedName>
    <definedName name="Excel_BuiltIn_Print_Titles_1_1_5">#REF!</definedName>
    <definedName name="Excel_BuiltIn_Print_Titles_1_1_6" localSheetId="7">#REF!</definedName>
    <definedName name="Excel_BuiltIn_Print_Titles_1_1_6" localSheetId="6">#REF!</definedName>
    <definedName name="Excel_BuiltIn_Print_Titles_1_1_6">#REF!</definedName>
    <definedName name="Excel_BuiltIn_Print_Titles_2_1" localSheetId="7">#REF!</definedName>
    <definedName name="Excel_BuiltIn_Print_Titles_2_1" localSheetId="6">#REF!</definedName>
    <definedName name="Excel_BuiltIn_Print_Titles_2_1">#REF!</definedName>
    <definedName name="Excel_BuiltIn_Print_Titles_3" localSheetId="7">#REF!</definedName>
    <definedName name="Excel_BuiltIn_Print_Titles_3" localSheetId="6">#REF!</definedName>
    <definedName name="Excel_BuiltIn_Print_Titles_3">#REF!</definedName>
    <definedName name="Excel_BuiltIn_Print_Titles_4" localSheetId="7">#REF!</definedName>
    <definedName name="Excel_BuiltIn_Print_Titles_4" localSheetId="6">#REF!</definedName>
    <definedName name="Excel_BuiltIn_Print_Titles_4">#REF!</definedName>
    <definedName name="Excel_BuiltIn_Print_Titles_6" localSheetId="7">#REF!</definedName>
    <definedName name="Excel_BuiltIn_Print_Titles_6" localSheetId="6">#REF!</definedName>
    <definedName name="Excel_BuiltIn_Print_Titles_6">#REF!</definedName>
    <definedName name="Excel_BuiltIn_Print_Titles_7" localSheetId="7">#REF!</definedName>
    <definedName name="Excel_BuiltIn_Print_Titles_7" localSheetId="6">#REF!</definedName>
    <definedName name="Excel_BuiltIn_Print_Titles_7">#REF!</definedName>
    <definedName name="Excel_BuiltIn_Print_Titles_8" localSheetId="7">#REF!</definedName>
    <definedName name="Excel_BuiltIn_Print_Titles_8" localSheetId="6">#REF!</definedName>
    <definedName name="Excel_BuiltIn_Print_Titles_8">#REF!</definedName>
    <definedName name="Execucao_Fundacoes_Plano_Inclinado" localSheetId="7">#REF!</definedName>
    <definedName name="Execucao_Fundacoes_Plano_Inclinado" localSheetId="2">#REF!</definedName>
    <definedName name="Execucao_Fundacoes_Plano_Inclinado" localSheetId="6">#REF!</definedName>
    <definedName name="Execucao_Fundacoes_Plano_Inclinado">#REF!</definedName>
    <definedName name="EXT" localSheetId="5">'[10]QUADRA POLIESPORTIVA'!#REF!</definedName>
    <definedName name="EXT" localSheetId="7">'[10]QUADRA POLIESPORTIVA'!#REF!</definedName>
    <definedName name="EXT" localSheetId="2">'[10]QUADRA POLIESPORTIVA'!#REF!</definedName>
    <definedName name="EXT" localSheetId="6">'[10]QUADRA POLIESPORTIVA'!#REF!</definedName>
    <definedName name="EXT">'[10]QUADRA POLIESPORTIVA'!#REF!</definedName>
    <definedName name="extensao" localSheetId="5">#REF!</definedName>
    <definedName name="extensao" localSheetId="7">#REF!</definedName>
    <definedName name="extensao" localSheetId="6">#REF!</definedName>
    <definedName name="extensao">#REF!</definedName>
    <definedName name="F" localSheetId="7">#REF!</definedName>
    <definedName name="F" localSheetId="2">#REF!</definedName>
    <definedName name="F" localSheetId="6">#REF!</definedName>
    <definedName name="F">#REF!</definedName>
    <definedName name="FGV" localSheetId="2">[11]SCO0504!$B$1:$E$65536</definedName>
    <definedName name="FGV">[11]SCO0504!$B$1:$E$65536</definedName>
    <definedName name="FGVC" localSheetId="2">[11]SCO0504!$A$1:$E$65536</definedName>
    <definedName name="FGVC">[11]SCO0504!$A$1:$E$65536</definedName>
    <definedName name="FGVC0504" localSheetId="7">#REF!</definedName>
    <definedName name="FGVC0504" localSheetId="2">#REF!</definedName>
    <definedName name="FGVC0504" localSheetId="6">#REF!</definedName>
    <definedName name="FGVC0504">#REF!</definedName>
    <definedName name="FGVSER" localSheetId="7">#REF!</definedName>
    <definedName name="FGVSER" localSheetId="2">#REF!</definedName>
    <definedName name="FGVSER" localSheetId="6">#REF!</definedName>
    <definedName name="FGVSER">#REF!</definedName>
    <definedName name="firma1" localSheetId="7">#REF!</definedName>
    <definedName name="firma1" localSheetId="6">#REF!</definedName>
    <definedName name="firma1">#REF!</definedName>
    <definedName name="firma2" localSheetId="7">#REF!</definedName>
    <definedName name="firma2" localSheetId="6">#REF!</definedName>
    <definedName name="firma2">#REF!</definedName>
    <definedName name="Format" localSheetId="7">#REF!</definedName>
    <definedName name="Format" localSheetId="2">#REF!</definedName>
    <definedName name="Format" localSheetId="6">#REF!</definedName>
    <definedName name="Format">#REF!</definedName>
    <definedName name="Fundacao_Plano_Inclinado" localSheetId="7">#REF!</definedName>
    <definedName name="Fundacao_Plano_Inclinado" localSheetId="2">#REF!</definedName>
    <definedName name="Fundacao_Plano_Inclinado" localSheetId="6">#REF!</definedName>
    <definedName name="Fundacao_Plano_Inclinado">#REF!</definedName>
    <definedName name="Header" localSheetId="7">#REF!</definedName>
    <definedName name="Header" localSheetId="2">#REF!</definedName>
    <definedName name="Header" localSheetId="6">#REF!</definedName>
    <definedName name="Header">#REF!</definedName>
    <definedName name="ICMS" localSheetId="7">#REF!</definedName>
    <definedName name="ICMS" localSheetId="2">#REF!</definedName>
    <definedName name="ICMS" localSheetId="6">#REF!</definedName>
    <definedName name="ICMS">#REF!</definedName>
    <definedName name="Implantacao_Consulta" localSheetId="7">#REF!</definedName>
    <definedName name="Implantacao_Consulta" localSheetId="2">#REF!</definedName>
    <definedName name="Implantacao_Consulta" localSheetId="6">#REF!</definedName>
    <definedName name="Implantacao_Consulta">#REF!</definedName>
    <definedName name="INTERCEPTORES___EMISSÁRIOS" localSheetId="5">#REF!</definedName>
    <definedName name="INTERCEPTORES___EMISSÁRIOS" localSheetId="7">#REF!</definedName>
    <definedName name="INTERCEPTORES___EMISSÁRIOS" localSheetId="2">#REF!</definedName>
    <definedName name="INTERCEPTORES___EMISSÁRIOS" localSheetId="6">#REF!</definedName>
    <definedName name="INTERCEPTORES___EMISSÁRIOS">#REF!</definedName>
    <definedName name="J" localSheetId="7">#REF!</definedName>
    <definedName name="J" localSheetId="2">#REF!</definedName>
    <definedName name="J" localSheetId="6">#REF!</definedName>
    <definedName name="J">#REF!</definedName>
    <definedName name="jhb" localSheetId="7">#REF!</definedName>
    <definedName name="jhb" localSheetId="2">#REF!</definedName>
    <definedName name="jhb" localSheetId="6">#REF!</definedName>
    <definedName name="jhb">#REF!</definedName>
    <definedName name="K" localSheetId="7">#REF!</definedName>
    <definedName name="K" localSheetId="2">#REF!</definedName>
    <definedName name="K" localSheetId="6">#REF!</definedName>
    <definedName name="K">#REF!</definedName>
    <definedName name="Kvenda" localSheetId="7">#REF!</definedName>
    <definedName name="Kvenda" localSheetId="2">#REF!</definedName>
    <definedName name="Kvenda" localSheetId="6">#REF!</definedName>
    <definedName name="Kvenda">#REF!</definedName>
    <definedName name="LARGURA" localSheetId="7">#REF!</definedName>
    <definedName name="LARGURA" localSheetId="2">#REF!</definedName>
    <definedName name="LARGURA" localSheetId="6">#REF!</definedName>
    <definedName name="LARGURA">#REF!</definedName>
    <definedName name="LIGAÇÃO" localSheetId="7">[12]COPASAXSINAPI_ENXUTO!#REF!</definedName>
    <definedName name="LIGAÇÃO" localSheetId="6">[13]COPASAXSINAPI_ENXUTO!#REF!</definedName>
    <definedName name="LIGAÇÃO">[12]COPASAXSINAPI_ENXUTO!#REF!</definedName>
    <definedName name="LINHAS_DE_RECALQUE" localSheetId="5">#REF!</definedName>
    <definedName name="LINHAS_DE_RECALQUE" localSheetId="7">#REF!</definedName>
    <definedName name="LINHAS_DE_RECALQUE" localSheetId="2">#REF!</definedName>
    <definedName name="LINHAS_DE_RECALQUE" localSheetId="6">#REF!</definedName>
    <definedName name="LINHAS_DE_RECALQUE">#REF!</definedName>
    <definedName name="lote" localSheetId="7">#REF!</definedName>
    <definedName name="lote" localSheetId="6">#REF!</definedName>
    <definedName name="lote">#REF!</definedName>
    <definedName name="meiofio">'[3]DADOS COLETATO'!$E$12</definedName>
    <definedName name="mes" localSheetId="5">#REF!</definedName>
    <definedName name="mes" localSheetId="7">#REF!</definedName>
    <definedName name="mes" localSheetId="6">#REF!</definedName>
    <definedName name="mes">#REF!</definedName>
    <definedName name="MM" localSheetId="7">#REF!</definedName>
    <definedName name="MM" localSheetId="2">#REF!</definedName>
    <definedName name="MM" localSheetId="6">#REF!</definedName>
    <definedName name="MM">#REF!</definedName>
    <definedName name="Mob" localSheetId="7">#REF!</definedName>
    <definedName name="Mob" localSheetId="2">#REF!</definedName>
    <definedName name="Mob" localSheetId="6">#REF!</definedName>
    <definedName name="Mob">#REF!</definedName>
    <definedName name="N" localSheetId="5">'[14]Orçamento Real'!#REF!</definedName>
    <definedName name="N" localSheetId="7">'[15]Orçamento Real'!#REF!</definedName>
    <definedName name="N" localSheetId="2">'[14]Orçamento Real'!#REF!</definedName>
    <definedName name="N" localSheetId="3">'[14]Orçamento Real'!#REF!</definedName>
    <definedName name="N" localSheetId="6">'[14]Orçamento Real'!#REF!</definedName>
    <definedName name="N">'[15]Orçamento Real'!#REF!</definedName>
    <definedName name="ORÇ" localSheetId="7">#REF!</definedName>
    <definedName name="ORÇ" localSheetId="2">#REF!</definedName>
    <definedName name="ORÇ" localSheetId="6">#REF!</definedName>
    <definedName name="ORÇ">#REF!</definedName>
    <definedName name="Ordem" localSheetId="2">'[16]Resumo do Consolidado'!$O$1:$P$65536</definedName>
    <definedName name="Ordem">'[16]Resumo do Consolidado'!$O$1:$P$65536</definedName>
    <definedName name="OUTROS" localSheetId="5">#REF!</definedName>
    <definedName name="OUTROS" localSheetId="7">#REF!</definedName>
    <definedName name="OUTROS" localSheetId="2">#REF!</definedName>
    <definedName name="OUTROS" localSheetId="6">#REF!</definedName>
    <definedName name="OUTROS">#REF!</definedName>
    <definedName name="Paisagismo_Consulta" localSheetId="7">#REF!</definedName>
    <definedName name="Paisagismo_Consulta" localSheetId="2">#REF!</definedName>
    <definedName name="Paisagismo_Consulta" localSheetId="6">#REF!</definedName>
    <definedName name="Paisagismo_Consulta">#REF!</definedName>
    <definedName name="PAVIMENTAÇÃO" localSheetId="7">#REF!</definedName>
    <definedName name="PAVIMENTAÇÃO" localSheetId="2">#REF!</definedName>
    <definedName name="PAVIMENTAÇÃO" localSheetId="6">#REF!</definedName>
    <definedName name="PAVIMENTAÇÃO">#REF!</definedName>
    <definedName name="PBR" localSheetId="7">#REF!</definedName>
    <definedName name="PBR" localSheetId="2">#REF!</definedName>
    <definedName name="PBR" localSheetId="6">#REF!</definedName>
    <definedName name="PBR">#REF!</definedName>
    <definedName name="pedreira">'[3]DADOS COLETATO'!$C$41</definedName>
    <definedName name="pesobrita">'[3]DADOS COLETATO'!$I$42</definedName>
    <definedName name="pesoespecifico">'[3]DADOS COLETATO'!$I$40</definedName>
    <definedName name="plani" localSheetId="5">#REF!</definedName>
    <definedName name="plani" localSheetId="7">#REF!</definedName>
    <definedName name="plani" localSheetId="2">#REF!</definedName>
    <definedName name="plani" localSheetId="6">#REF!</definedName>
    <definedName name="plani">#REF!</definedName>
    <definedName name="Poste" localSheetId="7">#REF!</definedName>
    <definedName name="Poste" localSheetId="2">#REF!</definedName>
    <definedName name="Poste" localSheetId="6">#REF!</definedName>
    <definedName name="Poste">#REF!</definedName>
    <definedName name="Preco" localSheetId="7">#REF!</definedName>
    <definedName name="Preco" localSheetId="2">#REF!</definedName>
    <definedName name="Preco" localSheetId="6">#REF!</definedName>
    <definedName name="Preco">#REF!</definedName>
    <definedName name="Predio_02_andares_Consulta">[17]Predio_02_andares!$A$8:$F$723</definedName>
    <definedName name="Preparo_Terreno" localSheetId="7">#REF!</definedName>
    <definedName name="Preparo_Terreno" localSheetId="2">#REF!</definedName>
    <definedName name="Preparo_Terreno" localSheetId="6">#REF!</definedName>
    <definedName name="Preparo_Terreno">#REF!</definedName>
    <definedName name="PROJ" localSheetId="7">#REF!</definedName>
    <definedName name="PROJ" localSheetId="2">#REF!</definedName>
    <definedName name="PROJ" localSheetId="6">#REF!</definedName>
    <definedName name="PROJ">#REF!</definedName>
    <definedName name="PRT" localSheetId="7">#REF!</definedName>
    <definedName name="PRT" localSheetId="2">#REF!</definedName>
    <definedName name="PRT" localSheetId="6">#REF!</definedName>
    <definedName name="PRT">#REF!</definedName>
    <definedName name="pv" localSheetId="7">#REF!</definedName>
    <definedName name="pv" localSheetId="2">#REF!</definedName>
    <definedName name="pv" localSheetId="6">#REF!</definedName>
    <definedName name="pv">#REF!</definedName>
    <definedName name="qci" localSheetId="7">#REF!</definedName>
    <definedName name="qci" localSheetId="6">#REF!</definedName>
    <definedName name="qci">#REF!</definedName>
    <definedName name="ralo">'[3]DADOS COLETATO'!$C$29</definedName>
    <definedName name="RawData" localSheetId="7">#REF!</definedName>
    <definedName name="RawData" localSheetId="2">#REF!</definedName>
    <definedName name="RawData" localSheetId="6">#REF!</definedName>
    <definedName name="RawData">#REF!</definedName>
    <definedName name="RawHeader" localSheetId="5">[12]COPASAXSINAPI_ENXUTO!#REF!</definedName>
    <definedName name="RawHeader" localSheetId="7">[12]COPASAXSINAPI_ENXUTO!#REF!</definedName>
    <definedName name="RawHeader" localSheetId="2">#REF!</definedName>
    <definedName name="RawHeader" localSheetId="6">[13]COPASAXSINAPI_ENXUTO!#REF!</definedName>
    <definedName name="RawHeader">[12]COPASAXSINAPI_ENXUTO!#REF!</definedName>
    <definedName name="REDE_COLETORA" localSheetId="5">#REF!</definedName>
    <definedName name="REDE_COLETORA" localSheetId="7">#REF!</definedName>
    <definedName name="REDE_COLETORA" localSheetId="2">#REF!</definedName>
    <definedName name="REDE_COLETORA" localSheetId="6">#REF!</definedName>
    <definedName name="REDE_COLETORA">#REF!</definedName>
    <definedName name="REF_SERVICOS" localSheetId="7">#REF!</definedName>
    <definedName name="REF_SERVICOS" localSheetId="2">#REF!</definedName>
    <definedName name="REF_SERVICOS" localSheetId="6">#REF!</definedName>
    <definedName name="REF_SERVICOS">#REF!</definedName>
    <definedName name="RESP." localSheetId="7">#REF!</definedName>
    <definedName name="RESP." localSheetId="2">#REF!</definedName>
    <definedName name="RESP." localSheetId="6">#REF!</definedName>
    <definedName name="RESP.">#REF!</definedName>
    <definedName name="rodovia" localSheetId="7">#REF!</definedName>
    <definedName name="rodovia" localSheetId="6">#REF!</definedName>
    <definedName name="rodovia">#REF!</definedName>
    <definedName name="RTL" localSheetId="7">#REF!</definedName>
    <definedName name="RTL" localSheetId="2">#REF!</definedName>
    <definedName name="RTL" localSheetId="6">#REF!</definedName>
    <definedName name="RTL">#REF!</definedName>
    <definedName name="sasasa" localSheetId="7">#REF!</definedName>
    <definedName name="sasasa" localSheetId="6">#REF!</definedName>
    <definedName name="sasasa">#REF!</definedName>
    <definedName name="sasasasasasa" localSheetId="7">#REF!</definedName>
    <definedName name="sasasasasasa" localSheetId="6">#REF!</definedName>
    <definedName name="sasasasasasa">#REF!</definedName>
    <definedName name="SDS" localSheetId="7">#REF!</definedName>
    <definedName name="SDS" localSheetId="2">#REF!</definedName>
    <definedName name="SDS" localSheetId="6">#REF!</definedName>
    <definedName name="SDS">#REF!</definedName>
    <definedName name="Sede_Detran_Consulta" localSheetId="7">#REF!</definedName>
    <definedName name="Sede_Detran_Consulta" localSheetId="2">#REF!</definedName>
    <definedName name="Sede_Detran_Consulta" localSheetId="6">#REF!</definedName>
    <definedName name="Sede_Detran_Consulta">#REF!</definedName>
    <definedName name="SERVIÇOS_COMPLEMENTARES" localSheetId="7">#REF!</definedName>
    <definedName name="SERVIÇOS_COMPLEMENTARES" localSheetId="2">#REF!</definedName>
    <definedName name="SERVIÇOS_COMPLEMENTARES" localSheetId="6">#REF!</definedName>
    <definedName name="SERVIÇOS_COMPLEMENTARES">#REF!</definedName>
    <definedName name="SERVIÇOS_PRELIMINARES" localSheetId="7">#REF!</definedName>
    <definedName name="SERVIÇOS_PRELIMINARES" localSheetId="2">#REF!</definedName>
    <definedName name="SERVIÇOS_PRELIMINARES" localSheetId="6">#REF!</definedName>
    <definedName name="SERVIÇOS_PRELIMINARES">#REF!</definedName>
    <definedName name="Servicos_Tecnicos" localSheetId="7">#REF!</definedName>
    <definedName name="Servicos_Tecnicos" localSheetId="2">#REF!</definedName>
    <definedName name="Servicos_Tecnicos" localSheetId="6">#REF!</definedName>
    <definedName name="Servicos_Tecnicos">#REF!</definedName>
    <definedName name="Servicos_Tecnicos_" localSheetId="7">#REF!</definedName>
    <definedName name="Servicos_Tecnicos_" localSheetId="2">#REF!</definedName>
    <definedName name="Servicos_Tecnicos_" localSheetId="6">#REF!</definedName>
    <definedName name="Servicos_Tecnicos_">#REF!</definedName>
    <definedName name="solver_adj" localSheetId="5" hidden="1">ADM!#REF!</definedName>
    <definedName name="solver_adj" localSheetId="7" hidden="1">BDI!#REF!</definedName>
    <definedName name="solver_adj" localSheetId="0" hidden="1">Orçamento!#REF!</definedName>
    <definedName name="solver_adj" localSheetId="1" hidden="1">Quant.!#REF!</definedName>
    <definedName name="solver_cvg" localSheetId="5" hidden="1">0.0001</definedName>
    <definedName name="solver_cvg" localSheetId="7" hidden="1">0.0001</definedName>
    <definedName name="solver_cvg" localSheetId="0" hidden="1">0.0001</definedName>
    <definedName name="solver_cvg" localSheetId="1" hidden="1">0.0001</definedName>
    <definedName name="solver_drv" localSheetId="5" hidden="1">1</definedName>
    <definedName name="solver_drv" localSheetId="7" hidden="1">1</definedName>
    <definedName name="solver_drv" localSheetId="0" hidden="1">1</definedName>
    <definedName name="solver_drv" localSheetId="1" hidden="1">1</definedName>
    <definedName name="solver_est" localSheetId="5" hidden="1">1</definedName>
    <definedName name="solver_est" localSheetId="7" hidden="1">1</definedName>
    <definedName name="solver_est" localSheetId="0" hidden="1">1</definedName>
    <definedName name="solver_est" localSheetId="1" hidden="1">1</definedName>
    <definedName name="solver_itr" localSheetId="5" hidden="1">100</definedName>
    <definedName name="solver_itr" localSheetId="7" hidden="1">100</definedName>
    <definedName name="solver_itr" localSheetId="0" hidden="1">100</definedName>
    <definedName name="solver_itr" localSheetId="1" hidden="1">100</definedName>
    <definedName name="solver_lin" localSheetId="5" hidden="1">2</definedName>
    <definedName name="solver_lin" localSheetId="7" hidden="1">2</definedName>
    <definedName name="solver_lin" localSheetId="0" hidden="1">2</definedName>
    <definedName name="solver_lin" localSheetId="1" hidden="1">2</definedName>
    <definedName name="solver_neg" localSheetId="5" hidden="1">2</definedName>
    <definedName name="solver_neg" localSheetId="7" hidden="1">2</definedName>
    <definedName name="solver_neg" localSheetId="0" hidden="1">2</definedName>
    <definedName name="solver_neg" localSheetId="1" hidden="1">2</definedName>
    <definedName name="solver_num" localSheetId="5" hidden="1">0</definedName>
    <definedName name="solver_num" localSheetId="7" hidden="1">0</definedName>
    <definedName name="solver_num" localSheetId="0" hidden="1">0</definedName>
    <definedName name="solver_num" localSheetId="1" hidden="1">0</definedName>
    <definedName name="solver_nwt" localSheetId="5" hidden="1">1</definedName>
    <definedName name="solver_nwt" localSheetId="7" hidden="1">1</definedName>
    <definedName name="solver_nwt" localSheetId="0" hidden="1">1</definedName>
    <definedName name="solver_nwt" localSheetId="1" hidden="1">1</definedName>
    <definedName name="solver_opt" localSheetId="5" hidden="1">ADM!#REF!</definedName>
    <definedName name="solver_opt" localSheetId="7" hidden="1">BDI!#REF!</definedName>
    <definedName name="solver_opt" localSheetId="0" hidden="1">Orçamento!#REF!</definedName>
    <definedName name="solver_opt" localSheetId="1" hidden="1">Quant.!#REF!</definedName>
    <definedName name="solver_pre" localSheetId="5" hidden="1">0.000001</definedName>
    <definedName name="solver_pre" localSheetId="7" hidden="1">0.000001</definedName>
    <definedName name="solver_pre" localSheetId="0" hidden="1">0.000001</definedName>
    <definedName name="solver_pre" localSheetId="1" hidden="1">0.000001</definedName>
    <definedName name="solver_scl" localSheetId="5" hidden="1">2</definedName>
    <definedName name="solver_scl" localSheetId="7" hidden="1">2</definedName>
    <definedName name="solver_scl" localSheetId="0" hidden="1">2</definedName>
    <definedName name="solver_scl" localSheetId="1" hidden="1">2</definedName>
    <definedName name="solver_sho" localSheetId="5" hidden="1">2</definedName>
    <definedName name="solver_sho" localSheetId="7" hidden="1">2</definedName>
    <definedName name="solver_sho" localSheetId="0" hidden="1">2</definedName>
    <definedName name="solver_sho" localSheetId="1" hidden="1">2</definedName>
    <definedName name="solver_tim" localSheetId="5" hidden="1">100</definedName>
    <definedName name="solver_tim" localSheetId="7" hidden="1">100</definedName>
    <definedName name="solver_tim" localSheetId="0" hidden="1">100</definedName>
    <definedName name="solver_tim" localSheetId="1" hidden="1">100</definedName>
    <definedName name="solver_tol" localSheetId="5" hidden="1">0.05</definedName>
    <definedName name="solver_tol" localSheetId="7" hidden="1">0.05</definedName>
    <definedName name="solver_tol" localSheetId="0" hidden="1">0.05</definedName>
    <definedName name="solver_tol" localSheetId="1" hidden="1">0.05</definedName>
    <definedName name="solver_typ" localSheetId="5" hidden="1">1</definedName>
    <definedName name="solver_typ" localSheetId="7" hidden="1">1</definedName>
    <definedName name="solver_typ" localSheetId="0" hidden="1">1</definedName>
    <definedName name="solver_typ" localSheetId="1" hidden="1">1</definedName>
    <definedName name="solver_val" localSheetId="5" hidden="1">4785546.03</definedName>
    <definedName name="solver_val" localSheetId="7" hidden="1">4785546.03</definedName>
    <definedName name="solver_val" localSheetId="0" hidden="1">4785546.03</definedName>
    <definedName name="solver_val" localSheetId="1" hidden="1">4785546.03</definedName>
    <definedName name="subtrecho" localSheetId="5">#REF!</definedName>
    <definedName name="subtrecho" localSheetId="7">#REF!</definedName>
    <definedName name="subtrecho" localSheetId="6">#REF!</definedName>
    <definedName name="subtrecho">#REF!</definedName>
    <definedName name="TEC" localSheetId="7">#REF!</definedName>
    <definedName name="TEC" localSheetId="2">#REF!</definedName>
    <definedName name="TEC" localSheetId="6">#REF!</definedName>
    <definedName name="TEC">#REF!</definedName>
    <definedName name="TEC." localSheetId="7">#REF!</definedName>
    <definedName name="TEC." localSheetId="2">#REF!</definedName>
    <definedName name="TEC." localSheetId="6">#REF!</definedName>
    <definedName name="TEC.">#REF!</definedName>
    <definedName name="TERRAPLENAGEM" localSheetId="7">#REF!</definedName>
    <definedName name="TERRAPLENAGEM" localSheetId="2">#REF!</definedName>
    <definedName name="TERRAPLENAGEM" localSheetId="6">#REF!</definedName>
    <definedName name="TERRAPLENAGEM">#REF!</definedName>
    <definedName name="_xlnm.Print_Titles" localSheetId="7">BDI!#REF!</definedName>
    <definedName name="_xlnm.Print_Titles" localSheetId="2">Drenagem!$24:$27</definedName>
    <definedName name="_xlnm.Print_Titles" localSheetId="0">Orçamento!$1:$10</definedName>
    <definedName name="_xlnm.Print_Titles" localSheetId="1">Quant.!$2:$10</definedName>
    <definedName name="trecho" localSheetId="5">#REF!</definedName>
    <definedName name="trecho" localSheetId="7">#REF!</definedName>
    <definedName name="trecho" localSheetId="6">#REF!</definedName>
    <definedName name="trecho">#REF!</definedName>
    <definedName name="urb" localSheetId="5">#REF!</definedName>
    <definedName name="urb" localSheetId="7">#REF!</definedName>
    <definedName name="urb" localSheetId="2">#REF!</definedName>
    <definedName name="urb" localSheetId="6">#REF!</definedName>
    <definedName name="urb">#REF!</definedName>
    <definedName name="usina">'[3]DADOS COLETATO'!$C$42</definedName>
    <definedName name="volumedebrita">'[3]DADOS COLETATO'!$I$10</definedName>
    <definedName name="volumedecorte">'[3]DADOS COLETATO'!$I$9</definedName>
    <definedName name="volumedepv">'[3]DADOS COLETATO'!$I$11</definedName>
    <definedName name="XXX010160100" localSheetId="5">#REF!</definedName>
    <definedName name="XXX010160100" localSheetId="7">#REF!</definedName>
    <definedName name="XXX010160100" localSheetId="2">#REF!</definedName>
    <definedName name="XXX010160100" localSheetId="6">#REF!</definedName>
    <definedName name="XXX010160100">#REF!</definedName>
    <definedName name="xxxxxx" localSheetId="7">[12]COPASAXSINAPI_ENXUTO!#REF!</definedName>
    <definedName name="xxxxxx" localSheetId="6">[13]COPASAXSINAPI_ENXUTO!#REF!</definedName>
    <definedName name="xxxxxx">[12]COPASAXSINAPI_ENXUTO!#REF!</definedName>
    <definedName name="zero" localSheetId="7">#REF!</definedName>
    <definedName name="zero" localSheetId="2">#REF!</definedName>
    <definedName name="zero" localSheetId="6">#REF!</definedName>
    <definedName name="zero">#REF!</definedName>
  </definedNames>
  <calcPr calcId="124519"/>
</workbook>
</file>

<file path=xl/calcChain.xml><?xml version="1.0" encoding="utf-8"?>
<calcChain xmlns="http://schemas.openxmlformats.org/spreadsheetml/2006/main">
  <c r="BC29" i="116"/>
  <c r="E142" i="65"/>
  <c r="E42" l="1"/>
  <c r="E44" s="1"/>
  <c r="I300"/>
  <c r="I281"/>
  <c r="I280"/>
  <c r="I277"/>
  <c r="I276"/>
  <c r="I275"/>
  <c r="I274"/>
  <c r="I273"/>
  <c r="I259"/>
  <c r="I250"/>
  <c r="I249"/>
  <c r="I242"/>
  <c r="I241"/>
  <c r="I240"/>
  <c r="I239"/>
  <c r="I238"/>
  <c r="I235"/>
  <c r="I234"/>
  <c r="I233"/>
  <c r="I232"/>
  <c r="I225"/>
  <c r="I224"/>
  <c r="I223"/>
  <c r="I215"/>
  <c r="I206"/>
  <c r="I205"/>
  <c r="I197"/>
  <c r="I187"/>
  <c r="I185"/>
  <c r="I184"/>
  <c r="I183"/>
  <c r="I182"/>
  <c r="I181"/>
  <c r="I180"/>
  <c r="I179"/>
  <c r="I178"/>
  <c r="I177"/>
  <c r="I176"/>
  <c r="I175"/>
  <c r="I174"/>
  <c r="I173"/>
  <c r="I172"/>
  <c r="I164"/>
  <c r="I156"/>
  <c r="I155"/>
  <c r="I147"/>
  <c r="I140"/>
  <c r="I132"/>
  <c r="I125"/>
  <c r="I124"/>
  <c r="I123"/>
  <c r="I122"/>
  <c r="I121"/>
  <c r="I120"/>
  <c r="I119"/>
  <c r="I118"/>
  <c r="I107"/>
  <c r="I99"/>
  <c r="I92"/>
  <c r="I75"/>
  <c r="I64"/>
  <c r="I47"/>
  <c r="I40"/>
  <c r="I37"/>
  <c r="I34"/>
  <c r="I31"/>
  <c r="I30"/>
  <c r="I29"/>
  <c r="I28"/>
  <c r="I27"/>
  <c r="I26"/>
  <c r="I25"/>
  <c r="I24"/>
  <c r="I23"/>
  <c r="I22"/>
  <c r="I21"/>
  <c r="I20"/>
  <c r="I12"/>
  <c r="J20"/>
  <c r="D17" i="131" l="1"/>
  <c r="D10"/>
  <c r="D11"/>
  <c r="D12"/>
  <c r="D13"/>
  <c r="D14"/>
  <c r="D15"/>
  <c r="D16"/>
  <c r="D9"/>
  <c r="C5"/>
  <c r="C4"/>
  <c r="L6"/>
  <c r="N5"/>
  <c r="F36" i="130" l="1"/>
  <c r="C40"/>
  <c r="C37"/>
  <c r="E305" i="116"/>
  <c r="D11" i="65"/>
  <c r="C7" i="129"/>
  <c r="C9"/>
  <c r="C8"/>
  <c r="I6" i="65"/>
  <c r="C8"/>
  <c r="C7"/>
  <c r="C6"/>
  <c r="C5"/>
  <c r="E6" i="130"/>
  <c r="G10"/>
  <c r="I10"/>
  <c r="J10"/>
  <c r="J12"/>
  <c r="I12"/>
  <c r="H12"/>
  <c r="G12"/>
  <c r="H10"/>
  <c r="D10"/>
  <c r="D12"/>
  <c r="D14"/>
  <c r="D16"/>
  <c r="D18"/>
  <c r="D20"/>
  <c r="D22"/>
  <c r="D24"/>
  <c r="D8"/>
  <c r="J6"/>
  <c r="J5"/>
  <c r="B6"/>
  <c r="B5"/>
  <c r="L31"/>
  <c r="K31"/>
  <c r="J31"/>
  <c r="I31"/>
  <c r="H31"/>
  <c r="G31"/>
  <c r="L29"/>
  <c r="K29"/>
  <c r="J29"/>
  <c r="I29"/>
  <c r="H29"/>
  <c r="G29"/>
  <c r="L27"/>
  <c r="K27"/>
  <c r="J27"/>
  <c r="I27"/>
  <c r="H27"/>
  <c r="G27"/>
  <c r="D300" i="65"/>
  <c r="D281"/>
  <c r="D280"/>
  <c r="D279"/>
  <c r="D277"/>
  <c r="D276"/>
  <c r="D275"/>
  <c r="D274"/>
  <c r="D273"/>
  <c r="D259"/>
  <c r="D258"/>
  <c r="D250"/>
  <c r="D249"/>
  <c r="D242"/>
  <c r="D241"/>
  <c r="D240"/>
  <c r="D239"/>
  <c r="D238"/>
  <c r="D237"/>
  <c r="D235"/>
  <c r="D234"/>
  <c r="D233"/>
  <c r="D232"/>
  <c r="D225"/>
  <c r="D224"/>
  <c r="D223"/>
  <c r="D215"/>
  <c r="D206"/>
  <c r="D205"/>
  <c r="D197"/>
  <c r="D187"/>
  <c r="D186"/>
  <c r="D185"/>
  <c r="D184"/>
  <c r="D183"/>
  <c r="D182"/>
  <c r="D181"/>
  <c r="D180"/>
  <c r="D179"/>
  <c r="D178"/>
  <c r="D177"/>
  <c r="D176"/>
  <c r="D175"/>
  <c r="D174"/>
  <c r="D173"/>
  <c r="D172"/>
  <c r="D164"/>
  <c r="D156"/>
  <c r="D155"/>
  <c r="D147"/>
  <c r="D140"/>
  <c r="D132"/>
  <c r="D125"/>
  <c r="D124"/>
  <c r="D123"/>
  <c r="D122"/>
  <c r="D121"/>
  <c r="D120"/>
  <c r="D119"/>
  <c r="D118"/>
  <c r="D117"/>
  <c r="D107"/>
  <c r="D99"/>
  <c r="D92"/>
  <c r="D75"/>
  <c r="D64"/>
  <c r="D47"/>
  <c r="D40"/>
  <c r="D39"/>
  <c r="D37"/>
  <c r="D36"/>
  <c r="D34"/>
  <c r="D33"/>
  <c r="D31"/>
  <c r="D30"/>
  <c r="D29"/>
  <c r="D28"/>
  <c r="D27"/>
  <c r="D26"/>
  <c r="D25"/>
  <c r="D24"/>
  <c r="D23"/>
  <c r="D22"/>
  <c r="D21"/>
  <c r="D20"/>
  <c r="D12"/>
  <c r="H59" i="129"/>
  <c r="G59"/>
  <c r="G46"/>
  <c r="H53"/>
  <c r="I53" s="1"/>
  <c r="G53"/>
  <c r="H30"/>
  <c r="G30"/>
  <c r="H12"/>
  <c r="G12"/>
  <c r="I12" s="1"/>
  <c r="G27"/>
  <c r="H27"/>
  <c r="H46"/>
  <c r="H32"/>
  <c r="G32"/>
  <c r="H20"/>
  <c r="G20"/>
  <c r="H19"/>
  <c r="G19"/>
  <c r="H18"/>
  <c r="G18"/>
  <c r="I18" s="1"/>
  <c r="J274" i="65"/>
  <c r="I30" i="129" l="1"/>
  <c r="I46"/>
  <c r="I59"/>
  <c r="I19"/>
  <c r="I32"/>
  <c r="I27"/>
  <c r="F100" i="57"/>
  <c r="F99"/>
  <c r="F98"/>
  <c r="I20" i="129"/>
  <c r="I61" l="1"/>
  <c r="G27" i="57" s="1"/>
  <c r="J37" i="65"/>
  <c r="J30" l="1"/>
  <c r="J26"/>
  <c r="K14" i="107" l="1"/>
  <c r="I6" i="116" l="1"/>
  <c r="I5"/>
  <c r="I4"/>
  <c r="I3"/>
  <c r="B4" i="107"/>
  <c r="B3"/>
  <c r="B2"/>
  <c r="E209" i="65" l="1"/>
  <c r="H209"/>
  <c r="K102" i="57" l="1"/>
  <c r="K94"/>
  <c r="K85"/>
  <c r="K71"/>
  <c r="K41"/>
  <c r="K32"/>
  <c r="K29"/>
  <c r="K26"/>
  <c r="H262" i="65" l="1"/>
  <c r="H190"/>
  <c r="E190"/>
  <c r="F114"/>
  <c r="E14" i="107"/>
  <c r="K13"/>
  <c r="E13"/>
  <c r="W13" s="1"/>
  <c r="K12"/>
  <c r="E12"/>
  <c r="L11"/>
  <c r="K11"/>
  <c r="F11"/>
  <c r="S11" s="1"/>
  <c r="E11"/>
  <c r="W11" s="1"/>
  <c r="T14" l="1"/>
  <c r="V14"/>
  <c r="H14"/>
  <c r="H210" i="65"/>
  <c r="H212" s="1"/>
  <c r="T12" i="107"/>
  <c r="E210" i="65"/>
  <c r="E212" s="1"/>
  <c r="E263"/>
  <c r="H191"/>
  <c r="H194" s="1"/>
  <c r="H263"/>
  <c r="E253"/>
  <c r="E255" s="1"/>
  <c r="E191"/>
  <c r="H60"/>
  <c r="U12" i="107"/>
  <c r="AA12" s="1"/>
  <c r="AB12" s="1"/>
  <c r="X13"/>
  <c r="U14"/>
  <c r="AA14" s="1"/>
  <c r="AB14" s="1"/>
  <c r="X12"/>
  <c r="X14"/>
  <c r="W12"/>
  <c r="H13"/>
  <c r="W14"/>
  <c r="G12"/>
  <c r="Y12"/>
  <c r="T13"/>
  <c r="Y14"/>
  <c r="V12"/>
  <c r="Z12" s="1"/>
  <c r="G13"/>
  <c r="Y13"/>
  <c r="Z14"/>
  <c r="H12"/>
  <c r="U13"/>
  <c r="AA13" s="1"/>
  <c r="V13"/>
  <c r="Z13" s="1"/>
  <c r="T11"/>
  <c r="G11"/>
  <c r="U11"/>
  <c r="AA11" s="1"/>
  <c r="V11"/>
  <c r="Z11" s="1"/>
  <c r="X11"/>
  <c r="Y11"/>
  <c r="H11"/>
  <c r="E269" i="65" l="1"/>
  <c r="E270" s="1"/>
  <c r="H264"/>
  <c r="E264"/>
  <c r="AB13" i="107"/>
  <c r="J206" i="65"/>
  <c r="J250"/>
  <c r="F92" i="57" s="1"/>
  <c r="AB11" i="107"/>
  <c r="F14" i="57"/>
  <c r="K14" s="1"/>
  <c r="F15"/>
  <c r="K15" s="1"/>
  <c r="F24"/>
  <c r="K24" s="1"/>
  <c r="F22"/>
  <c r="K22" s="1"/>
  <c r="K92" l="1"/>
  <c r="F16"/>
  <c r="E194" i="65"/>
  <c r="K16" i="57" l="1"/>
  <c r="J187" i="65"/>
  <c r="E200" l="1"/>
  <c r="F72" i="57"/>
  <c r="K72" l="1"/>
  <c r="E202" i="65"/>
  <c r="J197" s="1"/>
  <c r="F73" i="57" s="1"/>
  <c r="F75"/>
  <c r="K75" s="1"/>
  <c r="H268" i="65"/>
  <c r="K73" i="57" l="1"/>
  <c r="E218" i="65"/>
  <c r="E220" s="1"/>
  <c r="J215" l="1"/>
  <c r="F76" i="57" s="1"/>
  <c r="K76" l="1"/>
  <c r="J184" i="65"/>
  <c r="J34"/>
  <c r="N71" i="116"/>
  <c r="N67"/>
  <c r="BP65"/>
  <c r="BO65"/>
  <c r="BN65"/>
  <c r="BM65"/>
  <c r="BL65"/>
  <c r="BK65"/>
  <c r="BI65"/>
  <c r="BH65"/>
  <c r="BG65"/>
  <c r="BF65"/>
  <c r="BD65"/>
  <c r="AS65"/>
  <c r="AQ65"/>
  <c r="AO65"/>
  <c r="AM65"/>
  <c r="AK65"/>
  <c r="AI65"/>
  <c r="AG65"/>
  <c r="AE65"/>
  <c r="AC65"/>
  <c r="AA65"/>
  <c r="Y65"/>
  <c r="W65"/>
  <c r="U65"/>
  <c r="T65"/>
  <c r="S65"/>
  <c r="AX65" s="1"/>
  <c r="P65"/>
  <c r="I65"/>
  <c r="G65"/>
  <c r="D65"/>
  <c r="C65"/>
  <c r="BP64"/>
  <c r="BO64"/>
  <c r="BN64"/>
  <c r="BM64"/>
  <c r="BL64"/>
  <c r="BK64"/>
  <c r="BI64"/>
  <c r="BH64"/>
  <c r="BG64"/>
  <c r="BF64"/>
  <c r="BD64"/>
  <c r="AS64"/>
  <c r="AQ64"/>
  <c r="AO64"/>
  <c r="AM64"/>
  <c r="AK64"/>
  <c r="AI64"/>
  <c r="AG64"/>
  <c r="AE64"/>
  <c r="AC64"/>
  <c r="AA64"/>
  <c r="Y64"/>
  <c r="W64"/>
  <c r="U64"/>
  <c r="T64"/>
  <c r="S64"/>
  <c r="AX64" s="1"/>
  <c r="P64"/>
  <c r="BE64" s="1"/>
  <c r="I64"/>
  <c r="D64"/>
  <c r="C64"/>
  <c r="N305" l="1"/>
  <c r="AW64"/>
  <c r="BA64"/>
  <c r="BB64" s="1"/>
  <c r="BC64" s="1"/>
  <c r="AY64"/>
  <c r="AZ64"/>
  <c r="BA65"/>
  <c r="BB65" s="1"/>
  <c r="BC65" s="1"/>
  <c r="AY65"/>
  <c r="AU64"/>
  <c r="AZ65"/>
  <c r="AV64"/>
  <c r="AU65"/>
  <c r="AV65"/>
  <c r="AW65"/>
  <c r="F64" l="1"/>
  <c r="F65"/>
  <c r="E65" s="1"/>
  <c r="BE65" s="1"/>
  <c r="H55" i="65" l="1"/>
  <c r="H58" s="1"/>
  <c r="E55"/>
  <c r="H59" s="1"/>
  <c r="H61" l="1"/>
  <c r="F71" s="1"/>
  <c r="F72" l="1"/>
  <c r="J64" s="1"/>
  <c r="H79"/>
  <c r="J47"/>
  <c r="H81" l="1"/>
  <c r="E296"/>
  <c r="H292"/>
  <c r="E292"/>
  <c r="H270"/>
  <c r="J259" s="1"/>
  <c r="S61" i="118" l="1"/>
  <c r="S58"/>
  <c r="S54"/>
  <c r="S51"/>
  <c r="S48"/>
  <c r="H25"/>
  <c r="H24"/>
  <c r="J24" s="1"/>
  <c r="P22" s="1"/>
  <c r="P17" s="1"/>
  <c r="J11"/>
  <c r="P9" s="1"/>
  <c r="P4" s="1"/>
  <c r="M6" i="131" s="1"/>
  <c r="B10" i="118"/>
  <c r="G10" s="1"/>
  <c r="B9"/>
  <c r="G9" s="1"/>
  <c r="B8"/>
  <c r="G8" s="1"/>
  <c r="B7"/>
  <c r="G7" s="1"/>
  <c r="G6"/>
  <c r="G5"/>
  <c r="R4"/>
  <c r="S4" s="1"/>
  <c r="I8" i="57" l="1"/>
  <c r="E19" i="107"/>
  <c r="T19"/>
  <c r="H288" i="65"/>
  <c r="H19" i="107"/>
  <c r="G19"/>
  <c r="H83" i="57" l="1"/>
  <c r="H100"/>
  <c r="I100" s="1"/>
  <c r="H98"/>
  <c r="I98" s="1"/>
  <c r="H99"/>
  <c r="I99" s="1"/>
  <c r="H104"/>
  <c r="H95"/>
  <c r="H88"/>
  <c r="H81"/>
  <c r="H77"/>
  <c r="H68"/>
  <c r="H66"/>
  <c r="H62"/>
  <c r="H58"/>
  <c r="H54"/>
  <c r="H47"/>
  <c r="H43"/>
  <c r="H37"/>
  <c r="H34"/>
  <c r="H14"/>
  <c r="I14" s="1"/>
  <c r="H18"/>
  <c r="H22"/>
  <c r="I22" s="1"/>
  <c r="H90"/>
  <c r="H74"/>
  <c r="H63"/>
  <c r="H55"/>
  <c r="H38"/>
  <c r="H13"/>
  <c r="H103"/>
  <c r="H92"/>
  <c r="I92" s="1"/>
  <c r="H87"/>
  <c r="H80"/>
  <c r="H76"/>
  <c r="I76" s="1"/>
  <c r="H73"/>
  <c r="I73" s="1"/>
  <c r="H65"/>
  <c r="H61"/>
  <c r="H57"/>
  <c r="H53"/>
  <c r="H50"/>
  <c r="H46"/>
  <c r="H42"/>
  <c r="H33"/>
  <c r="H15"/>
  <c r="I15" s="1"/>
  <c r="H19"/>
  <c r="H23"/>
  <c r="H105"/>
  <c r="H82"/>
  <c r="H78"/>
  <c r="H67"/>
  <c r="H51"/>
  <c r="H35"/>
  <c r="H21"/>
  <c r="H97"/>
  <c r="H91"/>
  <c r="H86"/>
  <c r="H79"/>
  <c r="H75"/>
  <c r="I75" s="1"/>
  <c r="H72"/>
  <c r="I72" s="1"/>
  <c r="H64"/>
  <c r="H60"/>
  <c r="H56"/>
  <c r="H52"/>
  <c r="H49"/>
  <c r="H45"/>
  <c r="H39"/>
  <c r="H36"/>
  <c r="H30"/>
  <c r="H16"/>
  <c r="I16" s="1"/>
  <c r="H20"/>
  <c r="H24"/>
  <c r="I24" s="1"/>
  <c r="H96"/>
  <c r="H69"/>
  <c r="H59"/>
  <c r="H48"/>
  <c r="H44"/>
  <c r="H17"/>
  <c r="H89"/>
  <c r="H12"/>
  <c r="V19" i="107"/>
  <c r="AB19"/>
  <c r="J235" i="65" s="1"/>
  <c r="F83" i="57" s="1"/>
  <c r="U19" i="107"/>
  <c r="J40" i="65"/>
  <c r="E78" s="1"/>
  <c r="E82" s="1"/>
  <c r="P110" i="116"/>
  <c r="K83" i="57" l="1"/>
  <c r="I83"/>
  <c r="E288" i="65"/>
  <c r="E284"/>
  <c r="F19" i="107" l="1"/>
  <c r="J183" i="65"/>
  <c r="I49" i="116"/>
  <c r="I51"/>
  <c r="R19"/>
  <c r="J185" i="65"/>
  <c r="J182"/>
  <c r="F11" i="116" l="1"/>
  <c r="BE128"/>
  <c r="BL127"/>
  <c r="BL125"/>
  <c r="BL123"/>
  <c r="BE122"/>
  <c r="BE120"/>
  <c r="BL119"/>
  <c r="BE112"/>
  <c r="P108"/>
  <c r="P107"/>
  <c r="P106"/>
  <c r="P105"/>
  <c r="P104"/>
  <c r="P103"/>
  <c r="P102"/>
  <c r="P100"/>
  <c r="P101"/>
  <c r="P99"/>
  <c r="P98"/>
  <c r="BE98" s="1"/>
  <c r="CI104"/>
  <c r="CI84"/>
  <c r="CI76"/>
  <c r="BP304"/>
  <c r="BO304"/>
  <c r="BN304"/>
  <c r="BM304"/>
  <c r="BL304"/>
  <c r="BK304"/>
  <c r="BI304"/>
  <c r="BH304"/>
  <c r="BG304"/>
  <c r="BF304"/>
  <c r="BD304"/>
  <c r="AS304"/>
  <c r="AQ304"/>
  <c r="AO304"/>
  <c r="AM304"/>
  <c r="AK304"/>
  <c r="AI304"/>
  <c r="AG304"/>
  <c r="AE304"/>
  <c r="AC304"/>
  <c r="AA304"/>
  <c r="Y304"/>
  <c r="W304"/>
  <c r="U304"/>
  <c r="T304"/>
  <c r="S304"/>
  <c r="AV304" s="1"/>
  <c r="P304"/>
  <c r="BE304" s="1"/>
  <c r="I304"/>
  <c r="D304"/>
  <c r="C304"/>
  <c r="BP303"/>
  <c r="BO303"/>
  <c r="BN303"/>
  <c r="BM303"/>
  <c r="BL303"/>
  <c r="BK303"/>
  <c r="BI303"/>
  <c r="BH303"/>
  <c r="BG303"/>
  <c r="BF303"/>
  <c r="BD303"/>
  <c r="AS303"/>
  <c r="AQ303"/>
  <c r="AO303"/>
  <c r="AM303"/>
  <c r="AK303"/>
  <c r="AI303"/>
  <c r="AG303"/>
  <c r="AE303"/>
  <c r="AC303"/>
  <c r="AA303"/>
  <c r="Y303"/>
  <c r="W303"/>
  <c r="U303"/>
  <c r="T303"/>
  <c r="S303"/>
  <c r="AV303" s="1"/>
  <c r="P303"/>
  <c r="I303"/>
  <c r="G303"/>
  <c r="D303"/>
  <c r="C303"/>
  <c r="BP302"/>
  <c r="BO302"/>
  <c r="BN302"/>
  <c r="BM302"/>
  <c r="BL302"/>
  <c r="BK302"/>
  <c r="BI302"/>
  <c r="BH302"/>
  <c r="BG302"/>
  <c r="BF302"/>
  <c r="BD302"/>
  <c r="AS302"/>
  <c r="AQ302"/>
  <c r="AO302"/>
  <c r="AM302"/>
  <c r="AK302"/>
  <c r="AI302"/>
  <c r="AG302"/>
  <c r="AE302"/>
  <c r="AC302"/>
  <c r="AA302"/>
  <c r="Y302"/>
  <c r="W302"/>
  <c r="U302"/>
  <c r="T302"/>
  <c r="S302"/>
  <c r="AY302" s="1"/>
  <c r="P302"/>
  <c r="BE302" s="1"/>
  <c r="I302"/>
  <c r="D302"/>
  <c r="C302"/>
  <c r="BP301"/>
  <c r="BO301"/>
  <c r="BN301"/>
  <c r="BM301"/>
  <c r="BL301"/>
  <c r="BK301"/>
  <c r="BI301"/>
  <c r="BH301"/>
  <c r="BG301"/>
  <c r="BF301"/>
  <c r="BD301"/>
  <c r="AS301"/>
  <c r="AQ301"/>
  <c r="AO301"/>
  <c r="AM301"/>
  <c r="AK301"/>
  <c r="AI301"/>
  <c r="AG301"/>
  <c r="AE301"/>
  <c r="AC301"/>
  <c r="AA301"/>
  <c r="Y301"/>
  <c r="W301"/>
  <c r="U301"/>
  <c r="T301"/>
  <c r="S301"/>
  <c r="AV301" s="1"/>
  <c r="P301"/>
  <c r="I301"/>
  <c r="G301"/>
  <c r="D301"/>
  <c r="C301"/>
  <c r="BP300"/>
  <c r="BO300"/>
  <c r="BN300"/>
  <c r="BM300"/>
  <c r="BL300"/>
  <c r="BK300"/>
  <c r="BI300"/>
  <c r="BH300"/>
  <c r="BG300"/>
  <c r="BF300"/>
  <c r="BD300"/>
  <c r="AS300"/>
  <c r="AQ300"/>
  <c r="AO300"/>
  <c r="AM300"/>
  <c r="AK300"/>
  <c r="AI300"/>
  <c r="AG300"/>
  <c r="AE300"/>
  <c r="AC300"/>
  <c r="AA300"/>
  <c r="Y300"/>
  <c r="W300"/>
  <c r="U300"/>
  <c r="T300"/>
  <c r="S300"/>
  <c r="AV300" s="1"/>
  <c r="P300"/>
  <c r="BE300" s="1"/>
  <c r="I300"/>
  <c r="D300"/>
  <c r="C300"/>
  <c r="BP299"/>
  <c r="BO299"/>
  <c r="BN299"/>
  <c r="BM299"/>
  <c r="BL299"/>
  <c r="BK299"/>
  <c r="BI299"/>
  <c r="BH299"/>
  <c r="BG299"/>
  <c r="BF299"/>
  <c r="BD299"/>
  <c r="AS299"/>
  <c r="AQ299"/>
  <c r="AO299"/>
  <c r="AM299"/>
  <c r="AK299"/>
  <c r="AI299"/>
  <c r="AG299"/>
  <c r="AE299"/>
  <c r="AC299"/>
  <c r="AA299"/>
  <c r="Y299"/>
  <c r="W299"/>
  <c r="U299"/>
  <c r="T299"/>
  <c r="S299"/>
  <c r="AV299" s="1"/>
  <c r="P299"/>
  <c r="I299"/>
  <c r="G299"/>
  <c r="D299"/>
  <c r="C299"/>
  <c r="BP298"/>
  <c r="BO298"/>
  <c r="BN298"/>
  <c r="BM298"/>
  <c r="BL298"/>
  <c r="BK298"/>
  <c r="BI298"/>
  <c r="BH298"/>
  <c r="BG298"/>
  <c r="BF298"/>
  <c r="BD298"/>
  <c r="AS298"/>
  <c r="AQ298"/>
  <c r="AO298"/>
  <c r="AM298"/>
  <c r="AK298"/>
  <c r="AI298"/>
  <c r="AG298"/>
  <c r="AE298"/>
  <c r="AC298"/>
  <c r="AA298"/>
  <c r="Y298"/>
  <c r="W298"/>
  <c r="U298"/>
  <c r="T298"/>
  <c r="S298"/>
  <c r="AV298" s="1"/>
  <c r="P298"/>
  <c r="BE298" s="1"/>
  <c r="I298"/>
  <c r="D298"/>
  <c r="C298"/>
  <c r="BP297"/>
  <c r="BO297"/>
  <c r="BN297"/>
  <c r="BM297"/>
  <c r="BL297"/>
  <c r="BK297"/>
  <c r="BI297"/>
  <c r="BH297"/>
  <c r="BG297"/>
  <c r="BF297"/>
  <c r="BD297"/>
  <c r="AS297"/>
  <c r="AQ297"/>
  <c r="AO297"/>
  <c r="AM297"/>
  <c r="AK297"/>
  <c r="AI297"/>
  <c r="AG297"/>
  <c r="AE297"/>
  <c r="AC297"/>
  <c r="AA297"/>
  <c r="Y297"/>
  <c r="W297"/>
  <c r="U297"/>
  <c r="T297"/>
  <c r="S297"/>
  <c r="P297"/>
  <c r="I297"/>
  <c r="G297"/>
  <c r="D297"/>
  <c r="C297"/>
  <c r="BP296"/>
  <c r="BO296"/>
  <c r="BN296"/>
  <c r="BM296"/>
  <c r="BL296"/>
  <c r="BK296"/>
  <c r="BI296"/>
  <c r="BH296"/>
  <c r="BG296"/>
  <c r="BF296"/>
  <c r="BD296"/>
  <c r="AS296"/>
  <c r="AQ296"/>
  <c r="AO296"/>
  <c r="AM296"/>
  <c r="AK296"/>
  <c r="AI296"/>
  <c r="AG296"/>
  <c r="AE296"/>
  <c r="AC296"/>
  <c r="AA296"/>
  <c r="Y296"/>
  <c r="W296"/>
  <c r="U296"/>
  <c r="T296"/>
  <c r="S296"/>
  <c r="AW296" s="1"/>
  <c r="P296"/>
  <c r="BE296" s="1"/>
  <c r="I296"/>
  <c r="D296"/>
  <c r="C296"/>
  <c r="BP295"/>
  <c r="BO295"/>
  <c r="BN295"/>
  <c r="BM295"/>
  <c r="BL295"/>
  <c r="BK295"/>
  <c r="BI295"/>
  <c r="BH295"/>
  <c r="BG295"/>
  <c r="BF295"/>
  <c r="BD295"/>
  <c r="AS295"/>
  <c r="AQ295"/>
  <c r="AO295"/>
  <c r="AM295"/>
  <c r="AK295"/>
  <c r="AI295"/>
  <c r="AG295"/>
  <c r="AE295"/>
  <c r="AC295"/>
  <c r="AA295"/>
  <c r="Y295"/>
  <c r="W295"/>
  <c r="U295"/>
  <c r="T295"/>
  <c r="S295"/>
  <c r="P295"/>
  <c r="I295"/>
  <c r="G295"/>
  <c r="D295"/>
  <c r="C295"/>
  <c r="BP294"/>
  <c r="BO294"/>
  <c r="BN294"/>
  <c r="BM294"/>
  <c r="BL294"/>
  <c r="BK294"/>
  <c r="BI294"/>
  <c r="BH294"/>
  <c r="BG294"/>
  <c r="BF294"/>
  <c r="BD294"/>
  <c r="AS294"/>
  <c r="AQ294"/>
  <c r="AO294"/>
  <c r="AM294"/>
  <c r="AK294"/>
  <c r="AI294"/>
  <c r="AG294"/>
  <c r="AE294"/>
  <c r="AC294"/>
  <c r="AA294"/>
  <c r="Y294"/>
  <c r="W294"/>
  <c r="U294"/>
  <c r="T294"/>
  <c r="S294"/>
  <c r="AV294" s="1"/>
  <c r="P294"/>
  <c r="BE294" s="1"/>
  <c r="I294"/>
  <c r="D294"/>
  <c r="C294"/>
  <c r="BP293"/>
  <c r="BO293"/>
  <c r="BN293"/>
  <c r="BM293"/>
  <c r="BL293"/>
  <c r="BK293"/>
  <c r="BI293"/>
  <c r="BH293"/>
  <c r="BG293"/>
  <c r="BF293"/>
  <c r="BD293"/>
  <c r="AS293"/>
  <c r="AQ293"/>
  <c r="AO293"/>
  <c r="AM293"/>
  <c r="AK293"/>
  <c r="AI293"/>
  <c r="AG293"/>
  <c r="AE293"/>
  <c r="AC293"/>
  <c r="AA293"/>
  <c r="Y293"/>
  <c r="W293"/>
  <c r="U293"/>
  <c r="T293"/>
  <c r="S293"/>
  <c r="AV293" s="1"/>
  <c r="P293"/>
  <c r="I293"/>
  <c r="G293"/>
  <c r="D293"/>
  <c r="C293"/>
  <c r="BP292"/>
  <c r="BO292"/>
  <c r="BN292"/>
  <c r="BM292"/>
  <c r="BL292"/>
  <c r="BK292"/>
  <c r="BI292"/>
  <c r="BH292"/>
  <c r="BG292"/>
  <c r="BF292"/>
  <c r="BD292"/>
  <c r="AS292"/>
  <c r="AQ292"/>
  <c r="AO292"/>
  <c r="AM292"/>
  <c r="AK292"/>
  <c r="AI292"/>
  <c r="AG292"/>
  <c r="AE292"/>
  <c r="AC292"/>
  <c r="AA292"/>
  <c r="Y292"/>
  <c r="W292"/>
  <c r="U292"/>
  <c r="T292"/>
  <c r="S292"/>
  <c r="AX292" s="1"/>
  <c r="P292"/>
  <c r="BE292" s="1"/>
  <c r="I292"/>
  <c r="D292"/>
  <c r="C292"/>
  <c r="BP291"/>
  <c r="BO291"/>
  <c r="BN291"/>
  <c r="BM291"/>
  <c r="BL291"/>
  <c r="BK291"/>
  <c r="BI291"/>
  <c r="BH291"/>
  <c r="BG291"/>
  <c r="BF291"/>
  <c r="BD291"/>
  <c r="AS291"/>
  <c r="AQ291"/>
  <c r="AO291"/>
  <c r="AM291"/>
  <c r="AK291"/>
  <c r="AI291"/>
  <c r="AG291"/>
  <c r="AE291"/>
  <c r="AC291"/>
  <c r="AA291"/>
  <c r="Y291"/>
  <c r="W291"/>
  <c r="U291"/>
  <c r="T291"/>
  <c r="S291"/>
  <c r="AV291" s="1"/>
  <c r="P291"/>
  <c r="I291"/>
  <c r="G291"/>
  <c r="D291"/>
  <c r="C291"/>
  <c r="BP290"/>
  <c r="BO290"/>
  <c r="BN290"/>
  <c r="BM290"/>
  <c r="BL290"/>
  <c r="BK290"/>
  <c r="BI290"/>
  <c r="BH290"/>
  <c r="BG290"/>
  <c r="BF290"/>
  <c r="BD290"/>
  <c r="AS290"/>
  <c r="AQ290"/>
  <c r="AO290"/>
  <c r="AM290"/>
  <c r="AK290"/>
  <c r="AI290"/>
  <c r="AG290"/>
  <c r="AE290"/>
  <c r="AC290"/>
  <c r="AA290"/>
  <c r="Y290"/>
  <c r="W290"/>
  <c r="U290"/>
  <c r="T290"/>
  <c r="S290"/>
  <c r="AV290" s="1"/>
  <c r="P290"/>
  <c r="BE290" s="1"/>
  <c r="I290"/>
  <c r="D290"/>
  <c r="C290"/>
  <c r="BP289"/>
  <c r="BO289"/>
  <c r="BN289"/>
  <c r="BM289"/>
  <c r="BL289"/>
  <c r="BK289"/>
  <c r="BI289"/>
  <c r="BH289"/>
  <c r="BG289"/>
  <c r="BF289"/>
  <c r="BD289"/>
  <c r="AS289"/>
  <c r="AQ289"/>
  <c r="AO289"/>
  <c r="AM289"/>
  <c r="AK289"/>
  <c r="AI289"/>
  <c r="AG289"/>
  <c r="AE289"/>
  <c r="AC289"/>
  <c r="AA289"/>
  <c r="Y289"/>
  <c r="W289"/>
  <c r="U289"/>
  <c r="T289"/>
  <c r="S289"/>
  <c r="AV289" s="1"/>
  <c r="P289"/>
  <c r="I289"/>
  <c r="G289"/>
  <c r="D289"/>
  <c r="C289"/>
  <c r="BP288"/>
  <c r="BO288"/>
  <c r="BN288"/>
  <c r="BM288"/>
  <c r="BL288"/>
  <c r="BK288"/>
  <c r="BI288"/>
  <c r="BH288"/>
  <c r="BG288"/>
  <c r="BF288"/>
  <c r="BD288"/>
  <c r="AS288"/>
  <c r="AQ288"/>
  <c r="AO288"/>
  <c r="AM288"/>
  <c r="AK288"/>
  <c r="AI288"/>
  <c r="AG288"/>
  <c r="AE288"/>
  <c r="AC288"/>
  <c r="AA288"/>
  <c r="Y288"/>
  <c r="W288"/>
  <c r="U288"/>
  <c r="T288"/>
  <c r="S288"/>
  <c r="AX288" s="1"/>
  <c r="P288"/>
  <c r="BE288" s="1"/>
  <c r="I288"/>
  <c r="D288"/>
  <c r="C288"/>
  <c r="BP287"/>
  <c r="BO287"/>
  <c r="BN287"/>
  <c r="BM287"/>
  <c r="BL287"/>
  <c r="BK287"/>
  <c r="BI287"/>
  <c r="BH287"/>
  <c r="BG287"/>
  <c r="BF287"/>
  <c r="BD287"/>
  <c r="AS287"/>
  <c r="AQ287"/>
  <c r="AO287"/>
  <c r="AM287"/>
  <c r="AK287"/>
  <c r="AI287"/>
  <c r="AG287"/>
  <c r="AE287"/>
  <c r="AC287"/>
  <c r="AA287"/>
  <c r="Y287"/>
  <c r="W287"/>
  <c r="U287"/>
  <c r="T287"/>
  <c r="S287"/>
  <c r="AV287" s="1"/>
  <c r="P287"/>
  <c r="I287"/>
  <c r="G287"/>
  <c r="D287"/>
  <c r="C287"/>
  <c r="BP286"/>
  <c r="BO286"/>
  <c r="BN286"/>
  <c r="BM286"/>
  <c r="BL286"/>
  <c r="BK286"/>
  <c r="BI286"/>
  <c r="BH286"/>
  <c r="BG286"/>
  <c r="BF286"/>
  <c r="BD286"/>
  <c r="AS286"/>
  <c r="AQ286"/>
  <c r="AO286"/>
  <c r="AM286"/>
  <c r="AK286"/>
  <c r="AI286"/>
  <c r="AG286"/>
  <c r="AE286"/>
  <c r="AC286"/>
  <c r="AA286"/>
  <c r="Y286"/>
  <c r="W286"/>
  <c r="U286"/>
  <c r="T286"/>
  <c r="S286"/>
  <c r="AV286" s="1"/>
  <c r="P286"/>
  <c r="BE286" s="1"/>
  <c r="I286"/>
  <c r="D286"/>
  <c r="C286"/>
  <c r="BP285"/>
  <c r="BO285"/>
  <c r="BN285"/>
  <c r="BM285"/>
  <c r="BL285"/>
  <c r="BK285"/>
  <c r="BI285"/>
  <c r="BH285"/>
  <c r="BG285"/>
  <c r="BF285"/>
  <c r="BD285"/>
  <c r="AS285"/>
  <c r="AQ285"/>
  <c r="AO285"/>
  <c r="AM285"/>
  <c r="AK285"/>
  <c r="AI285"/>
  <c r="AG285"/>
  <c r="AE285"/>
  <c r="AC285"/>
  <c r="AA285"/>
  <c r="Y285"/>
  <c r="W285"/>
  <c r="U285"/>
  <c r="T285"/>
  <c r="S285"/>
  <c r="AV285" s="1"/>
  <c r="P285"/>
  <c r="I285"/>
  <c r="G285"/>
  <c r="D285"/>
  <c r="C285"/>
  <c r="BP284"/>
  <c r="BO284"/>
  <c r="BN284"/>
  <c r="BM284"/>
  <c r="BL284"/>
  <c r="BK284"/>
  <c r="BI284"/>
  <c r="BH284"/>
  <c r="BG284"/>
  <c r="BF284"/>
  <c r="BD284"/>
  <c r="AS284"/>
  <c r="AQ284"/>
  <c r="AO284"/>
  <c r="AM284"/>
  <c r="AK284"/>
  <c r="AI284"/>
  <c r="AG284"/>
  <c r="AE284"/>
  <c r="AC284"/>
  <c r="AA284"/>
  <c r="Y284"/>
  <c r="W284"/>
  <c r="U284"/>
  <c r="T284"/>
  <c r="S284"/>
  <c r="AY284" s="1"/>
  <c r="P284"/>
  <c r="BE284" s="1"/>
  <c r="I284"/>
  <c r="D284"/>
  <c r="C284"/>
  <c r="BP283"/>
  <c r="BO283"/>
  <c r="BN283"/>
  <c r="BM283"/>
  <c r="BL283"/>
  <c r="BK283"/>
  <c r="BI283"/>
  <c r="BH283"/>
  <c r="BG283"/>
  <c r="BF283"/>
  <c r="BD283"/>
  <c r="AS283"/>
  <c r="AQ283"/>
  <c r="AO283"/>
  <c r="AM283"/>
  <c r="AK283"/>
  <c r="AI283"/>
  <c r="AG283"/>
  <c r="AE283"/>
  <c r="AC283"/>
  <c r="AA283"/>
  <c r="Y283"/>
  <c r="W283"/>
  <c r="U283"/>
  <c r="T283"/>
  <c r="S283"/>
  <c r="AV283" s="1"/>
  <c r="P283"/>
  <c r="I283"/>
  <c r="G283"/>
  <c r="D283"/>
  <c r="C283"/>
  <c r="BP282"/>
  <c r="BO282"/>
  <c r="BN282"/>
  <c r="BM282"/>
  <c r="BL282"/>
  <c r="BK282"/>
  <c r="BI282"/>
  <c r="BH282"/>
  <c r="BG282"/>
  <c r="BF282"/>
  <c r="BD282"/>
  <c r="AS282"/>
  <c r="AQ282"/>
  <c r="AO282"/>
  <c r="AM282"/>
  <c r="AK282"/>
  <c r="AI282"/>
  <c r="AG282"/>
  <c r="AE282"/>
  <c r="AC282"/>
  <c r="AA282"/>
  <c r="Y282"/>
  <c r="W282"/>
  <c r="U282"/>
  <c r="T282"/>
  <c r="S282"/>
  <c r="AV282" s="1"/>
  <c r="P282"/>
  <c r="I282"/>
  <c r="D282"/>
  <c r="C282"/>
  <c r="BP281"/>
  <c r="BO281"/>
  <c r="BN281"/>
  <c r="BM281"/>
  <c r="BL281"/>
  <c r="BK281"/>
  <c r="BI281"/>
  <c r="BH281"/>
  <c r="BG281"/>
  <c r="BF281"/>
  <c r="BD281"/>
  <c r="AS281"/>
  <c r="AQ281"/>
  <c r="AO281"/>
  <c r="AM281"/>
  <c r="AK281"/>
  <c r="AI281"/>
  <c r="AG281"/>
  <c r="AE281"/>
  <c r="AC281"/>
  <c r="AA281"/>
  <c r="Y281"/>
  <c r="W281"/>
  <c r="U281"/>
  <c r="T281"/>
  <c r="S281"/>
  <c r="P281"/>
  <c r="I281"/>
  <c r="G281"/>
  <c r="D281"/>
  <c r="C281"/>
  <c r="BP280"/>
  <c r="BO280"/>
  <c r="BN280"/>
  <c r="BM280"/>
  <c r="BL280"/>
  <c r="BK280"/>
  <c r="BI280"/>
  <c r="BH280"/>
  <c r="BG280"/>
  <c r="BF280"/>
  <c r="BD280"/>
  <c r="AS280"/>
  <c r="AQ280"/>
  <c r="AO280"/>
  <c r="AM280"/>
  <c r="AK280"/>
  <c r="AI280"/>
  <c r="AG280"/>
  <c r="AE280"/>
  <c r="AC280"/>
  <c r="AA280"/>
  <c r="Y280"/>
  <c r="W280"/>
  <c r="U280"/>
  <c r="T280"/>
  <c r="S280"/>
  <c r="P280"/>
  <c r="BE280" s="1"/>
  <c r="I280"/>
  <c r="D280"/>
  <c r="C280"/>
  <c r="BP279"/>
  <c r="BO279"/>
  <c r="BN279"/>
  <c r="BM279"/>
  <c r="BL279"/>
  <c r="BK279"/>
  <c r="BI279"/>
  <c r="BH279"/>
  <c r="BG279"/>
  <c r="BF279"/>
  <c r="BD279"/>
  <c r="AS279"/>
  <c r="AQ279"/>
  <c r="AO279"/>
  <c r="AM279"/>
  <c r="AK279"/>
  <c r="AI279"/>
  <c r="AG279"/>
  <c r="AE279"/>
  <c r="AC279"/>
  <c r="AA279"/>
  <c r="Y279"/>
  <c r="W279"/>
  <c r="U279"/>
  <c r="T279"/>
  <c r="S279"/>
  <c r="P279"/>
  <c r="I279"/>
  <c r="G279"/>
  <c r="D279"/>
  <c r="C279"/>
  <c r="BP278"/>
  <c r="BO278"/>
  <c r="BN278"/>
  <c r="BM278"/>
  <c r="BL278"/>
  <c r="BK278"/>
  <c r="BI278"/>
  <c r="BH278"/>
  <c r="BG278"/>
  <c r="BF278"/>
  <c r="BD278"/>
  <c r="AS278"/>
  <c r="AQ278"/>
  <c r="AO278"/>
  <c r="AM278"/>
  <c r="AK278"/>
  <c r="AI278"/>
  <c r="AG278"/>
  <c r="AE278"/>
  <c r="AC278"/>
  <c r="AA278"/>
  <c r="Y278"/>
  <c r="W278"/>
  <c r="U278"/>
  <c r="T278"/>
  <c r="S278"/>
  <c r="AV278" s="1"/>
  <c r="P278"/>
  <c r="I278"/>
  <c r="D278"/>
  <c r="C278"/>
  <c r="BP277"/>
  <c r="BO277"/>
  <c r="BN277"/>
  <c r="BM277"/>
  <c r="BL277"/>
  <c r="BK277"/>
  <c r="BI277"/>
  <c r="BH277"/>
  <c r="BG277"/>
  <c r="BF277"/>
  <c r="BD277"/>
  <c r="AS277"/>
  <c r="AQ277"/>
  <c r="AO277"/>
  <c r="AM277"/>
  <c r="AK277"/>
  <c r="AI277"/>
  <c r="AG277"/>
  <c r="AE277"/>
  <c r="AC277"/>
  <c r="AA277"/>
  <c r="Y277"/>
  <c r="W277"/>
  <c r="U277"/>
  <c r="T277"/>
  <c r="S277"/>
  <c r="AV277" s="1"/>
  <c r="P277"/>
  <c r="I277"/>
  <c r="G277"/>
  <c r="D277"/>
  <c r="C277"/>
  <c r="BP276"/>
  <c r="BO276"/>
  <c r="BN276"/>
  <c r="BM276"/>
  <c r="BL276"/>
  <c r="BK276"/>
  <c r="BI276"/>
  <c r="BH276"/>
  <c r="BG276"/>
  <c r="BF276"/>
  <c r="BD276"/>
  <c r="AS276"/>
  <c r="AQ276"/>
  <c r="AO276"/>
  <c r="AM276"/>
  <c r="AK276"/>
  <c r="AI276"/>
  <c r="AG276"/>
  <c r="AE276"/>
  <c r="AC276"/>
  <c r="AA276"/>
  <c r="Y276"/>
  <c r="W276"/>
  <c r="U276"/>
  <c r="T276"/>
  <c r="S276"/>
  <c r="AV276" s="1"/>
  <c r="P276"/>
  <c r="BE276" s="1"/>
  <c r="I276"/>
  <c r="D276"/>
  <c r="C276"/>
  <c r="BP275"/>
  <c r="BO275"/>
  <c r="BN275"/>
  <c r="BM275"/>
  <c r="BL275"/>
  <c r="BK275"/>
  <c r="BI275"/>
  <c r="BH275"/>
  <c r="BG275"/>
  <c r="BF275"/>
  <c r="BD275"/>
  <c r="AS275"/>
  <c r="AQ275"/>
  <c r="AO275"/>
  <c r="AM275"/>
  <c r="AK275"/>
  <c r="AI275"/>
  <c r="AG275"/>
  <c r="AE275"/>
  <c r="AC275"/>
  <c r="AA275"/>
  <c r="Y275"/>
  <c r="W275"/>
  <c r="U275"/>
  <c r="T275"/>
  <c r="S275"/>
  <c r="AV275" s="1"/>
  <c r="P275"/>
  <c r="I275"/>
  <c r="G275"/>
  <c r="D275"/>
  <c r="C275"/>
  <c r="BP274"/>
  <c r="BO274"/>
  <c r="BN274"/>
  <c r="BM274"/>
  <c r="BL274"/>
  <c r="BK274"/>
  <c r="BI274"/>
  <c r="BH274"/>
  <c r="BG274"/>
  <c r="BF274"/>
  <c r="BD274"/>
  <c r="AS274"/>
  <c r="AQ274"/>
  <c r="AO274"/>
  <c r="AM274"/>
  <c r="AK274"/>
  <c r="AI274"/>
  <c r="AG274"/>
  <c r="AE274"/>
  <c r="AC274"/>
  <c r="AA274"/>
  <c r="Y274"/>
  <c r="W274"/>
  <c r="U274"/>
  <c r="T274"/>
  <c r="S274"/>
  <c r="AW274" s="1"/>
  <c r="P274"/>
  <c r="BE274" s="1"/>
  <c r="I274"/>
  <c r="D274"/>
  <c r="C274"/>
  <c r="BP273"/>
  <c r="BO273"/>
  <c r="BN273"/>
  <c r="BM273"/>
  <c r="BL273"/>
  <c r="BK273"/>
  <c r="BI273"/>
  <c r="BH273"/>
  <c r="BG273"/>
  <c r="BF273"/>
  <c r="BD273"/>
  <c r="AS273"/>
  <c r="AQ273"/>
  <c r="AO273"/>
  <c r="AM273"/>
  <c r="AK273"/>
  <c r="AI273"/>
  <c r="AG273"/>
  <c r="AE273"/>
  <c r="AC273"/>
  <c r="AA273"/>
  <c r="Y273"/>
  <c r="W273"/>
  <c r="U273"/>
  <c r="T273"/>
  <c r="S273"/>
  <c r="AV273" s="1"/>
  <c r="P273"/>
  <c r="I273"/>
  <c r="G273"/>
  <c r="D273"/>
  <c r="C273"/>
  <c r="BP272"/>
  <c r="BO272"/>
  <c r="BN272"/>
  <c r="BM272"/>
  <c r="BL272"/>
  <c r="BK272"/>
  <c r="BI272"/>
  <c r="BH272"/>
  <c r="BG272"/>
  <c r="BF272"/>
  <c r="BD272"/>
  <c r="AS272"/>
  <c r="AQ272"/>
  <c r="AO272"/>
  <c r="AM272"/>
  <c r="AK272"/>
  <c r="AI272"/>
  <c r="AG272"/>
  <c r="AE272"/>
  <c r="AC272"/>
  <c r="AA272"/>
  <c r="Y272"/>
  <c r="W272"/>
  <c r="U272"/>
  <c r="T272"/>
  <c r="S272"/>
  <c r="AV272" s="1"/>
  <c r="P272"/>
  <c r="BE272" s="1"/>
  <c r="I272"/>
  <c r="D272"/>
  <c r="C272"/>
  <c r="BP271"/>
  <c r="BO271"/>
  <c r="BN271"/>
  <c r="BM271"/>
  <c r="BL271"/>
  <c r="BK271"/>
  <c r="BI271"/>
  <c r="BH271"/>
  <c r="BG271"/>
  <c r="BF271"/>
  <c r="BD271"/>
  <c r="AS271"/>
  <c r="AQ271"/>
  <c r="AO271"/>
  <c r="AM271"/>
  <c r="AK271"/>
  <c r="AI271"/>
  <c r="AG271"/>
  <c r="AE271"/>
  <c r="AC271"/>
  <c r="AA271"/>
  <c r="Y271"/>
  <c r="W271"/>
  <c r="U271"/>
  <c r="T271"/>
  <c r="S271"/>
  <c r="AV271" s="1"/>
  <c r="P271"/>
  <c r="I271"/>
  <c r="G271"/>
  <c r="D271"/>
  <c r="C271"/>
  <c r="BP270"/>
  <c r="BO270"/>
  <c r="BN270"/>
  <c r="BM270"/>
  <c r="BL270"/>
  <c r="BK270"/>
  <c r="BI270"/>
  <c r="BH270"/>
  <c r="BG270"/>
  <c r="BF270"/>
  <c r="BD270"/>
  <c r="AS270"/>
  <c r="AQ270"/>
  <c r="AO270"/>
  <c r="AM270"/>
  <c r="AK270"/>
  <c r="AI270"/>
  <c r="AG270"/>
  <c r="AE270"/>
  <c r="AC270"/>
  <c r="AA270"/>
  <c r="Y270"/>
  <c r="W270"/>
  <c r="U270"/>
  <c r="T270"/>
  <c r="S270"/>
  <c r="AW270" s="1"/>
  <c r="P270"/>
  <c r="BE270" s="1"/>
  <c r="I270"/>
  <c r="D270"/>
  <c r="C270"/>
  <c r="BP269"/>
  <c r="BO269"/>
  <c r="BN269"/>
  <c r="BM269"/>
  <c r="BL269"/>
  <c r="BK269"/>
  <c r="BI269"/>
  <c r="BH269"/>
  <c r="BG269"/>
  <c r="BF269"/>
  <c r="BD269"/>
  <c r="AS269"/>
  <c r="AQ269"/>
  <c r="AO269"/>
  <c r="AM269"/>
  <c r="AK269"/>
  <c r="AI269"/>
  <c r="AG269"/>
  <c r="AE269"/>
  <c r="AC269"/>
  <c r="AA269"/>
  <c r="Y269"/>
  <c r="W269"/>
  <c r="U269"/>
  <c r="T269"/>
  <c r="S269"/>
  <c r="AV269" s="1"/>
  <c r="P269"/>
  <c r="I269"/>
  <c r="G269"/>
  <c r="D269"/>
  <c r="C269"/>
  <c r="BP268"/>
  <c r="BO268"/>
  <c r="BN268"/>
  <c r="BM268"/>
  <c r="BL268"/>
  <c r="BK268"/>
  <c r="BI268"/>
  <c r="BH268"/>
  <c r="BG268"/>
  <c r="BF268"/>
  <c r="BD268"/>
  <c r="AS268"/>
  <c r="AQ268"/>
  <c r="AO268"/>
  <c r="AM268"/>
  <c r="AK268"/>
  <c r="AI268"/>
  <c r="AG268"/>
  <c r="AE268"/>
  <c r="AC268"/>
  <c r="AA268"/>
  <c r="Y268"/>
  <c r="W268"/>
  <c r="U268"/>
  <c r="T268"/>
  <c r="S268"/>
  <c r="AY268" s="1"/>
  <c r="P268"/>
  <c r="BE268" s="1"/>
  <c r="I268"/>
  <c r="D268"/>
  <c r="C268"/>
  <c r="BP267"/>
  <c r="BO267"/>
  <c r="BN267"/>
  <c r="BM267"/>
  <c r="BL267"/>
  <c r="BK267"/>
  <c r="BI267"/>
  <c r="BH267"/>
  <c r="BG267"/>
  <c r="BF267"/>
  <c r="BD267"/>
  <c r="AS267"/>
  <c r="AQ267"/>
  <c r="AO267"/>
  <c r="AM267"/>
  <c r="AK267"/>
  <c r="AI267"/>
  <c r="AG267"/>
  <c r="AE267"/>
  <c r="AC267"/>
  <c r="AA267"/>
  <c r="Y267"/>
  <c r="W267"/>
  <c r="U267"/>
  <c r="T267"/>
  <c r="S267"/>
  <c r="AV267" s="1"/>
  <c r="P267"/>
  <c r="I267"/>
  <c r="G267"/>
  <c r="D267"/>
  <c r="C267"/>
  <c r="BP266"/>
  <c r="BO266"/>
  <c r="BN266"/>
  <c r="BM266"/>
  <c r="BL266"/>
  <c r="BK266"/>
  <c r="BI266"/>
  <c r="BH266"/>
  <c r="BG266"/>
  <c r="BF266"/>
  <c r="BD266"/>
  <c r="AS266"/>
  <c r="AQ266"/>
  <c r="AO266"/>
  <c r="AM266"/>
  <c r="AK266"/>
  <c r="AI266"/>
  <c r="AG266"/>
  <c r="AE266"/>
  <c r="AC266"/>
  <c r="AA266"/>
  <c r="Y266"/>
  <c r="W266"/>
  <c r="U266"/>
  <c r="T266"/>
  <c r="S266"/>
  <c r="AW266" s="1"/>
  <c r="P266"/>
  <c r="BE266" s="1"/>
  <c r="I266"/>
  <c r="D266"/>
  <c r="C266"/>
  <c r="BP265"/>
  <c r="BO265"/>
  <c r="BN265"/>
  <c r="BM265"/>
  <c r="BL265"/>
  <c r="BK265"/>
  <c r="BI265"/>
  <c r="BH265"/>
  <c r="BG265"/>
  <c r="BF265"/>
  <c r="BD265"/>
  <c r="AS265"/>
  <c r="AQ265"/>
  <c r="AO265"/>
  <c r="AM265"/>
  <c r="AK265"/>
  <c r="AI265"/>
  <c r="AG265"/>
  <c r="AE265"/>
  <c r="AC265"/>
  <c r="AA265"/>
  <c r="Y265"/>
  <c r="W265"/>
  <c r="U265"/>
  <c r="T265"/>
  <c r="S265"/>
  <c r="P265"/>
  <c r="I265"/>
  <c r="G265"/>
  <c r="D265"/>
  <c r="C265"/>
  <c r="BP264"/>
  <c r="BO264"/>
  <c r="BN264"/>
  <c r="BM264"/>
  <c r="BL264"/>
  <c r="BK264"/>
  <c r="BI264"/>
  <c r="BH264"/>
  <c r="BG264"/>
  <c r="BF264"/>
  <c r="BD264"/>
  <c r="AS264"/>
  <c r="AQ264"/>
  <c r="AO264"/>
  <c r="AM264"/>
  <c r="AK264"/>
  <c r="AI264"/>
  <c r="AG264"/>
  <c r="AE264"/>
  <c r="AC264"/>
  <c r="AA264"/>
  <c r="Y264"/>
  <c r="W264"/>
  <c r="U264"/>
  <c r="T264"/>
  <c r="S264"/>
  <c r="AZ264" s="1"/>
  <c r="P264"/>
  <c r="BE264" s="1"/>
  <c r="I264"/>
  <c r="D264"/>
  <c r="C264"/>
  <c r="BP263"/>
  <c r="BO263"/>
  <c r="BN263"/>
  <c r="BM263"/>
  <c r="BL263"/>
  <c r="BK263"/>
  <c r="BI263"/>
  <c r="BH263"/>
  <c r="BG263"/>
  <c r="BF263"/>
  <c r="BD263"/>
  <c r="AS263"/>
  <c r="AQ263"/>
  <c r="AO263"/>
  <c r="AM263"/>
  <c r="AK263"/>
  <c r="AI263"/>
  <c r="AG263"/>
  <c r="AE263"/>
  <c r="AC263"/>
  <c r="AA263"/>
  <c r="Y263"/>
  <c r="W263"/>
  <c r="U263"/>
  <c r="T263"/>
  <c r="S263"/>
  <c r="AV263" s="1"/>
  <c r="P263"/>
  <c r="I263"/>
  <c r="G263"/>
  <c r="D263"/>
  <c r="C263"/>
  <c r="BP262"/>
  <c r="BO262"/>
  <c r="BN262"/>
  <c r="BM262"/>
  <c r="BL262"/>
  <c r="BK262"/>
  <c r="BI262"/>
  <c r="BH262"/>
  <c r="BG262"/>
  <c r="BF262"/>
  <c r="BD262"/>
  <c r="AS262"/>
  <c r="AQ262"/>
  <c r="AO262"/>
  <c r="AM262"/>
  <c r="AK262"/>
  <c r="AI262"/>
  <c r="AG262"/>
  <c r="AE262"/>
  <c r="AC262"/>
  <c r="AA262"/>
  <c r="Y262"/>
  <c r="W262"/>
  <c r="U262"/>
  <c r="T262"/>
  <c r="S262"/>
  <c r="AZ262" s="1"/>
  <c r="P262"/>
  <c r="BE262" s="1"/>
  <c r="I262"/>
  <c r="D262"/>
  <c r="C262"/>
  <c r="BP261"/>
  <c r="BO261"/>
  <c r="BN261"/>
  <c r="BM261"/>
  <c r="BL261"/>
  <c r="BK261"/>
  <c r="BI261"/>
  <c r="BH261"/>
  <c r="BG261"/>
  <c r="BF261"/>
  <c r="BD261"/>
  <c r="AS261"/>
  <c r="AQ261"/>
  <c r="AO261"/>
  <c r="AM261"/>
  <c r="AK261"/>
  <c r="AI261"/>
  <c r="AG261"/>
  <c r="AE261"/>
  <c r="AC261"/>
  <c r="AA261"/>
  <c r="Y261"/>
  <c r="W261"/>
  <c r="U261"/>
  <c r="T261"/>
  <c r="S261"/>
  <c r="AV261" s="1"/>
  <c r="P261"/>
  <c r="I261"/>
  <c r="G261"/>
  <c r="D261"/>
  <c r="C261"/>
  <c r="BP260"/>
  <c r="BO260"/>
  <c r="BN260"/>
  <c r="BM260"/>
  <c r="BL260"/>
  <c r="BK260"/>
  <c r="BI260"/>
  <c r="BH260"/>
  <c r="BG260"/>
  <c r="BF260"/>
  <c r="BD260"/>
  <c r="AS260"/>
  <c r="AQ260"/>
  <c r="AO260"/>
  <c r="AM260"/>
  <c r="AK260"/>
  <c r="AI260"/>
  <c r="AG260"/>
  <c r="AE260"/>
  <c r="AC260"/>
  <c r="AA260"/>
  <c r="Y260"/>
  <c r="W260"/>
  <c r="U260"/>
  <c r="T260"/>
  <c r="S260"/>
  <c r="AZ260" s="1"/>
  <c r="P260"/>
  <c r="BE260" s="1"/>
  <c r="I260"/>
  <c r="D260"/>
  <c r="C260"/>
  <c r="BP259"/>
  <c r="BO259"/>
  <c r="BN259"/>
  <c r="BM259"/>
  <c r="BL259"/>
  <c r="BK259"/>
  <c r="BI259"/>
  <c r="BH259"/>
  <c r="BG259"/>
  <c r="BF259"/>
  <c r="BD259"/>
  <c r="AS259"/>
  <c r="AQ259"/>
  <c r="AO259"/>
  <c r="AM259"/>
  <c r="AK259"/>
  <c r="AI259"/>
  <c r="AG259"/>
  <c r="AE259"/>
  <c r="AC259"/>
  <c r="AA259"/>
  <c r="Y259"/>
  <c r="W259"/>
  <c r="U259"/>
  <c r="T259"/>
  <c r="S259"/>
  <c r="AZ259" s="1"/>
  <c r="P259"/>
  <c r="I259"/>
  <c r="G259"/>
  <c r="D259"/>
  <c r="C259"/>
  <c r="BP258"/>
  <c r="BO258"/>
  <c r="BN258"/>
  <c r="BM258"/>
  <c r="BL258"/>
  <c r="BK258"/>
  <c r="BI258"/>
  <c r="BH258"/>
  <c r="BG258"/>
  <c r="BF258"/>
  <c r="BD258"/>
  <c r="AS258"/>
  <c r="AQ258"/>
  <c r="AO258"/>
  <c r="AM258"/>
  <c r="AK258"/>
  <c r="AI258"/>
  <c r="AG258"/>
  <c r="AE258"/>
  <c r="AC258"/>
  <c r="AA258"/>
  <c r="Y258"/>
  <c r="W258"/>
  <c r="U258"/>
  <c r="T258"/>
  <c r="S258"/>
  <c r="AV258" s="1"/>
  <c r="P258"/>
  <c r="BE258" s="1"/>
  <c r="I258"/>
  <c r="D258"/>
  <c r="C258"/>
  <c r="BP257"/>
  <c r="BO257"/>
  <c r="BN257"/>
  <c r="BM257"/>
  <c r="BL257"/>
  <c r="BK257"/>
  <c r="BI257"/>
  <c r="BH257"/>
  <c r="BG257"/>
  <c r="BF257"/>
  <c r="BD257"/>
  <c r="AS257"/>
  <c r="AQ257"/>
  <c r="AO257"/>
  <c r="AM257"/>
  <c r="AK257"/>
  <c r="AI257"/>
  <c r="AG257"/>
  <c r="AE257"/>
  <c r="AC257"/>
  <c r="AA257"/>
  <c r="Y257"/>
  <c r="W257"/>
  <c r="U257"/>
  <c r="T257"/>
  <c r="S257"/>
  <c r="AZ257" s="1"/>
  <c r="P257"/>
  <c r="I257"/>
  <c r="G257"/>
  <c r="D257"/>
  <c r="C257"/>
  <c r="BP256"/>
  <c r="BO256"/>
  <c r="BN256"/>
  <c r="BM256"/>
  <c r="BL256"/>
  <c r="BK256"/>
  <c r="BI256"/>
  <c r="BH256"/>
  <c r="BG256"/>
  <c r="BF256"/>
  <c r="BD256"/>
  <c r="AS256"/>
  <c r="AQ256"/>
  <c r="AO256"/>
  <c r="AM256"/>
  <c r="AK256"/>
  <c r="AI256"/>
  <c r="AG256"/>
  <c r="AE256"/>
  <c r="AC256"/>
  <c r="AA256"/>
  <c r="Y256"/>
  <c r="W256"/>
  <c r="U256"/>
  <c r="T256"/>
  <c r="S256"/>
  <c r="AV256" s="1"/>
  <c r="P256"/>
  <c r="BE256" s="1"/>
  <c r="I256"/>
  <c r="D256"/>
  <c r="C256"/>
  <c r="BP255"/>
  <c r="BO255"/>
  <c r="BN255"/>
  <c r="BM255"/>
  <c r="BL255"/>
  <c r="BK255"/>
  <c r="BI255"/>
  <c r="BH255"/>
  <c r="BG255"/>
  <c r="BF255"/>
  <c r="BD255"/>
  <c r="AS255"/>
  <c r="AQ255"/>
  <c r="AO255"/>
  <c r="AM255"/>
  <c r="AK255"/>
  <c r="AI255"/>
  <c r="AG255"/>
  <c r="AE255"/>
  <c r="AC255"/>
  <c r="AA255"/>
  <c r="Y255"/>
  <c r="W255"/>
  <c r="U255"/>
  <c r="T255"/>
  <c r="S255"/>
  <c r="AZ255" s="1"/>
  <c r="P255"/>
  <c r="I255"/>
  <c r="G255"/>
  <c r="D255"/>
  <c r="C255"/>
  <c r="BP254"/>
  <c r="BO254"/>
  <c r="BN254"/>
  <c r="BM254"/>
  <c r="BL254"/>
  <c r="BK254"/>
  <c r="BI254"/>
  <c r="BH254"/>
  <c r="BG254"/>
  <c r="BF254"/>
  <c r="BD254"/>
  <c r="AS254"/>
  <c r="AQ254"/>
  <c r="AO254"/>
  <c r="AM254"/>
  <c r="AK254"/>
  <c r="AI254"/>
  <c r="AG254"/>
  <c r="AE254"/>
  <c r="AC254"/>
  <c r="AA254"/>
  <c r="Y254"/>
  <c r="W254"/>
  <c r="U254"/>
  <c r="T254"/>
  <c r="S254"/>
  <c r="AV254" s="1"/>
  <c r="P254"/>
  <c r="BE254" s="1"/>
  <c r="I254"/>
  <c r="D254"/>
  <c r="C254"/>
  <c r="BP253"/>
  <c r="BO253"/>
  <c r="BN253"/>
  <c r="BM253"/>
  <c r="BL253"/>
  <c r="BK253"/>
  <c r="BI253"/>
  <c r="BH253"/>
  <c r="BG253"/>
  <c r="BF253"/>
  <c r="BD253"/>
  <c r="AS253"/>
  <c r="AQ253"/>
  <c r="AO253"/>
  <c r="AM253"/>
  <c r="AK253"/>
  <c r="AI253"/>
  <c r="AG253"/>
  <c r="AE253"/>
  <c r="AC253"/>
  <c r="AA253"/>
  <c r="Y253"/>
  <c r="W253"/>
  <c r="U253"/>
  <c r="T253"/>
  <c r="S253"/>
  <c r="AZ253" s="1"/>
  <c r="P253"/>
  <c r="I253"/>
  <c r="G253"/>
  <c r="D253"/>
  <c r="C253"/>
  <c r="BP252"/>
  <c r="BO252"/>
  <c r="BN252"/>
  <c r="BM252"/>
  <c r="BL252"/>
  <c r="BK252"/>
  <c r="BI252"/>
  <c r="BH252"/>
  <c r="BG252"/>
  <c r="BF252"/>
  <c r="BD252"/>
  <c r="AS252"/>
  <c r="AQ252"/>
  <c r="AO252"/>
  <c r="AM252"/>
  <c r="AK252"/>
  <c r="AI252"/>
  <c r="AG252"/>
  <c r="AE252"/>
  <c r="AC252"/>
  <c r="AA252"/>
  <c r="Y252"/>
  <c r="W252"/>
  <c r="U252"/>
  <c r="T252"/>
  <c r="S252"/>
  <c r="AV252" s="1"/>
  <c r="P252"/>
  <c r="BE252" s="1"/>
  <c r="I252"/>
  <c r="D252"/>
  <c r="C252"/>
  <c r="BP251"/>
  <c r="BO251"/>
  <c r="BN251"/>
  <c r="BM251"/>
  <c r="BL251"/>
  <c r="BK251"/>
  <c r="BI251"/>
  <c r="BH251"/>
  <c r="BG251"/>
  <c r="BF251"/>
  <c r="BD251"/>
  <c r="AS251"/>
  <c r="AQ251"/>
  <c r="AO251"/>
  <c r="AM251"/>
  <c r="AK251"/>
  <c r="AI251"/>
  <c r="AG251"/>
  <c r="AE251"/>
  <c r="AC251"/>
  <c r="AA251"/>
  <c r="Y251"/>
  <c r="W251"/>
  <c r="U251"/>
  <c r="T251"/>
  <c r="S251"/>
  <c r="AZ251" s="1"/>
  <c r="P251"/>
  <c r="I251"/>
  <c r="G251"/>
  <c r="D251"/>
  <c r="C251"/>
  <c r="BP250"/>
  <c r="BO250"/>
  <c r="BN250"/>
  <c r="BM250"/>
  <c r="BL250"/>
  <c r="BK250"/>
  <c r="BI250"/>
  <c r="BH250"/>
  <c r="BG250"/>
  <c r="BF250"/>
  <c r="BD250"/>
  <c r="AS250"/>
  <c r="AQ250"/>
  <c r="AO250"/>
  <c r="AM250"/>
  <c r="AK250"/>
  <c r="AI250"/>
  <c r="AG250"/>
  <c r="AE250"/>
  <c r="AC250"/>
  <c r="AA250"/>
  <c r="Y250"/>
  <c r="W250"/>
  <c r="U250"/>
  <c r="T250"/>
  <c r="S250"/>
  <c r="AV250" s="1"/>
  <c r="P250"/>
  <c r="BE250" s="1"/>
  <c r="I250"/>
  <c r="D250"/>
  <c r="C250"/>
  <c r="BP249"/>
  <c r="BO249"/>
  <c r="BN249"/>
  <c r="BM249"/>
  <c r="BL249"/>
  <c r="BK249"/>
  <c r="BI249"/>
  <c r="BH249"/>
  <c r="BG249"/>
  <c r="BF249"/>
  <c r="BD249"/>
  <c r="AS249"/>
  <c r="AQ249"/>
  <c r="AO249"/>
  <c r="AM249"/>
  <c r="AK249"/>
  <c r="AI249"/>
  <c r="AG249"/>
  <c r="AE249"/>
  <c r="AC249"/>
  <c r="AA249"/>
  <c r="Y249"/>
  <c r="W249"/>
  <c r="U249"/>
  <c r="T249"/>
  <c r="S249"/>
  <c r="AZ249" s="1"/>
  <c r="P249"/>
  <c r="I249"/>
  <c r="G249"/>
  <c r="D249"/>
  <c r="C249"/>
  <c r="BP248"/>
  <c r="BO248"/>
  <c r="BN248"/>
  <c r="BM248"/>
  <c r="BL248"/>
  <c r="BK248"/>
  <c r="BI248"/>
  <c r="BH248"/>
  <c r="BG248"/>
  <c r="BF248"/>
  <c r="BD248"/>
  <c r="AS248"/>
  <c r="AQ248"/>
  <c r="AO248"/>
  <c r="AM248"/>
  <c r="AK248"/>
  <c r="AI248"/>
  <c r="AG248"/>
  <c r="AE248"/>
  <c r="AC248"/>
  <c r="AA248"/>
  <c r="Y248"/>
  <c r="W248"/>
  <c r="U248"/>
  <c r="T248"/>
  <c r="S248"/>
  <c r="AV248" s="1"/>
  <c r="P248"/>
  <c r="BE248" s="1"/>
  <c r="I248"/>
  <c r="D248"/>
  <c r="C248"/>
  <c r="BP247"/>
  <c r="BO247"/>
  <c r="BN247"/>
  <c r="BM247"/>
  <c r="BL247"/>
  <c r="BK247"/>
  <c r="BI247"/>
  <c r="BH247"/>
  <c r="BG247"/>
  <c r="BF247"/>
  <c r="BD247"/>
  <c r="AS247"/>
  <c r="AQ247"/>
  <c r="AO247"/>
  <c r="AM247"/>
  <c r="AK247"/>
  <c r="AI247"/>
  <c r="AG247"/>
  <c r="AE247"/>
  <c r="AC247"/>
  <c r="AA247"/>
  <c r="Y247"/>
  <c r="W247"/>
  <c r="U247"/>
  <c r="T247"/>
  <c r="S247"/>
  <c r="AZ247" s="1"/>
  <c r="P247"/>
  <c r="I247"/>
  <c r="G247"/>
  <c r="D247"/>
  <c r="C247"/>
  <c r="BP246"/>
  <c r="BO246"/>
  <c r="BN246"/>
  <c r="BM246"/>
  <c r="BL246"/>
  <c r="BK246"/>
  <c r="BI246"/>
  <c r="BH246"/>
  <c r="BG246"/>
  <c r="BF246"/>
  <c r="BD246"/>
  <c r="AS246"/>
  <c r="AQ246"/>
  <c r="AO246"/>
  <c r="AM246"/>
  <c r="AK246"/>
  <c r="AI246"/>
  <c r="AG246"/>
  <c r="AE246"/>
  <c r="AC246"/>
  <c r="AA246"/>
  <c r="Y246"/>
  <c r="W246"/>
  <c r="U246"/>
  <c r="T246"/>
  <c r="S246"/>
  <c r="AV246" s="1"/>
  <c r="P246"/>
  <c r="BE246" s="1"/>
  <c r="I246"/>
  <c r="D246"/>
  <c r="C246"/>
  <c r="BP245"/>
  <c r="BO245"/>
  <c r="BN245"/>
  <c r="BM245"/>
  <c r="BL245"/>
  <c r="BK245"/>
  <c r="BI245"/>
  <c r="BH245"/>
  <c r="BG245"/>
  <c r="BF245"/>
  <c r="BD245"/>
  <c r="AS245"/>
  <c r="AQ245"/>
  <c r="AO245"/>
  <c r="AM245"/>
  <c r="AK245"/>
  <c r="AI245"/>
  <c r="AG245"/>
  <c r="AE245"/>
  <c r="AC245"/>
  <c r="AA245"/>
  <c r="Y245"/>
  <c r="W245"/>
  <c r="U245"/>
  <c r="T245"/>
  <c r="S245"/>
  <c r="AZ245" s="1"/>
  <c r="P245"/>
  <c r="I245"/>
  <c r="G245"/>
  <c r="D245"/>
  <c r="C245"/>
  <c r="BP244"/>
  <c r="BO244"/>
  <c r="BN244"/>
  <c r="BM244"/>
  <c r="BL244"/>
  <c r="BK244"/>
  <c r="BI244"/>
  <c r="BH244"/>
  <c r="BG244"/>
  <c r="BF244"/>
  <c r="BD244"/>
  <c r="AS244"/>
  <c r="AQ244"/>
  <c r="AO244"/>
  <c r="AM244"/>
  <c r="AK244"/>
  <c r="AI244"/>
  <c r="AG244"/>
  <c r="AE244"/>
  <c r="AC244"/>
  <c r="AA244"/>
  <c r="Y244"/>
  <c r="W244"/>
  <c r="U244"/>
  <c r="T244"/>
  <c r="S244"/>
  <c r="AV244" s="1"/>
  <c r="P244"/>
  <c r="BE244" s="1"/>
  <c r="I244"/>
  <c r="D244"/>
  <c r="C244"/>
  <c r="BP243"/>
  <c r="BO243"/>
  <c r="BN243"/>
  <c r="BM243"/>
  <c r="BL243"/>
  <c r="BK243"/>
  <c r="BI243"/>
  <c r="BH243"/>
  <c r="BG243"/>
  <c r="BF243"/>
  <c r="BD243"/>
  <c r="AS243"/>
  <c r="AQ243"/>
  <c r="AO243"/>
  <c r="AM243"/>
  <c r="AK243"/>
  <c r="AI243"/>
  <c r="AG243"/>
  <c r="AE243"/>
  <c r="AC243"/>
  <c r="AA243"/>
  <c r="Y243"/>
  <c r="W243"/>
  <c r="U243"/>
  <c r="T243"/>
  <c r="S243"/>
  <c r="AZ243" s="1"/>
  <c r="P243"/>
  <c r="I243"/>
  <c r="G243"/>
  <c r="D243"/>
  <c r="C243"/>
  <c r="BP242"/>
  <c r="BO242"/>
  <c r="BN242"/>
  <c r="BM242"/>
  <c r="BL242"/>
  <c r="BK242"/>
  <c r="BI242"/>
  <c r="BH242"/>
  <c r="BG242"/>
  <c r="BF242"/>
  <c r="BD242"/>
  <c r="AS242"/>
  <c r="AQ242"/>
  <c r="AO242"/>
  <c r="AM242"/>
  <c r="AK242"/>
  <c r="AI242"/>
  <c r="AG242"/>
  <c r="AE242"/>
  <c r="AC242"/>
  <c r="AA242"/>
  <c r="Y242"/>
  <c r="W242"/>
  <c r="U242"/>
  <c r="T242"/>
  <c r="S242"/>
  <c r="AV242" s="1"/>
  <c r="P242"/>
  <c r="BE242" s="1"/>
  <c r="I242"/>
  <c r="D242"/>
  <c r="C242"/>
  <c r="BP241"/>
  <c r="BO241"/>
  <c r="BN241"/>
  <c r="BM241"/>
  <c r="BL241"/>
  <c r="BK241"/>
  <c r="BI241"/>
  <c r="BH241"/>
  <c r="BG241"/>
  <c r="BF241"/>
  <c r="BD241"/>
  <c r="AS241"/>
  <c r="AQ241"/>
  <c r="AO241"/>
  <c r="AM241"/>
  <c r="AK241"/>
  <c r="AI241"/>
  <c r="AG241"/>
  <c r="AE241"/>
  <c r="AC241"/>
  <c r="AA241"/>
  <c r="Y241"/>
  <c r="W241"/>
  <c r="U241"/>
  <c r="T241"/>
  <c r="S241"/>
  <c r="AZ241" s="1"/>
  <c r="P241"/>
  <c r="I241"/>
  <c r="G241"/>
  <c r="D241"/>
  <c r="C241"/>
  <c r="BP240"/>
  <c r="BO240"/>
  <c r="BN240"/>
  <c r="BM240"/>
  <c r="BL240"/>
  <c r="BK240"/>
  <c r="BI240"/>
  <c r="BH240"/>
  <c r="BG240"/>
  <c r="BF240"/>
  <c r="BD240"/>
  <c r="AS240"/>
  <c r="AQ240"/>
  <c r="AO240"/>
  <c r="AM240"/>
  <c r="AK240"/>
  <c r="AI240"/>
  <c r="AG240"/>
  <c r="AE240"/>
  <c r="AC240"/>
  <c r="AA240"/>
  <c r="Y240"/>
  <c r="W240"/>
  <c r="U240"/>
  <c r="T240"/>
  <c r="S240"/>
  <c r="AV240" s="1"/>
  <c r="P240"/>
  <c r="BE240" s="1"/>
  <c r="I240"/>
  <c r="D240"/>
  <c r="C240"/>
  <c r="BP239"/>
  <c r="BO239"/>
  <c r="BN239"/>
  <c r="BM239"/>
  <c r="BL239"/>
  <c r="BK239"/>
  <c r="BI239"/>
  <c r="BH239"/>
  <c r="BG239"/>
  <c r="BF239"/>
  <c r="BD239"/>
  <c r="AS239"/>
  <c r="AQ239"/>
  <c r="AO239"/>
  <c r="AM239"/>
  <c r="AK239"/>
  <c r="AI239"/>
  <c r="AG239"/>
  <c r="AE239"/>
  <c r="AC239"/>
  <c r="AA239"/>
  <c r="Y239"/>
  <c r="W239"/>
  <c r="U239"/>
  <c r="T239"/>
  <c r="S239"/>
  <c r="AZ239" s="1"/>
  <c r="P239"/>
  <c r="I239"/>
  <c r="G239"/>
  <c r="D239"/>
  <c r="C239"/>
  <c r="BP238"/>
  <c r="BO238"/>
  <c r="BN238"/>
  <c r="BM238"/>
  <c r="BL238"/>
  <c r="BK238"/>
  <c r="BI238"/>
  <c r="BH238"/>
  <c r="BG238"/>
  <c r="BF238"/>
  <c r="BD238"/>
  <c r="AS238"/>
  <c r="AQ238"/>
  <c r="AO238"/>
  <c r="AM238"/>
  <c r="AK238"/>
  <c r="AI238"/>
  <c r="AG238"/>
  <c r="AE238"/>
  <c r="AC238"/>
  <c r="AA238"/>
  <c r="Y238"/>
  <c r="W238"/>
  <c r="U238"/>
  <c r="T238"/>
  <c r="S238"/>
  <c r="AV238" s="1"/>
  <c r="P238"/>
  <c r="BE238" s="1"/>
  <c r="I238"/>
  <c r="D238"/>
  <c r="C238"/>
  <c r="BP237"/>
  <c r="BO237"/>
  <c r="BN237"/>
  <c r="BM237"/>
  <c r="BL237"/>
  <c r="BK237"/>
  <c r="BI237"/>
  <c r="BH237"/>
  <c r="BG237"/>
  <c r="BF237"/>
  <c r="BD237"/>
  <c r="AS237"/>
  <c r="AQ237"/>
  <c r="AO237"/>
  <c r="AM237"/>
  <c r="AK237"/>
  <c r="AI237"/>
  <c r="AG237"/>
  <c r="AE237"/>
  <c r="AC237"/>
  <c r="AA237"/>
  <c r="Y237"/>
  <c r="W237"/>
  <c r="U237"/>
  <c r="T237"/>
  <c r="S237"/>
  <c r="AZ237" s="1"/>
  <c r="P237"/>
  <c r="I237"/>
  <c r="G237"/>
  <c r="D237"/>
  <c r="C237"/>
  <c r="BP236"/>
  <c r="BO236"/>
  <c r="BN236"/>
  <c r="BM236"/>
  <c r="BL236"/>
  <c r="BK236"/>
  <c r="BI236"/>
  <c r="BH236"/>
  <c r="BG236"/>
  <c r="BF236"/>
  <c r="BD236"/>
  <c r="AS236"/>
  <c r="AQ236"/>
  <c r="AO236"/>
  <c r="AM236"/>
  <c r="AK236"/>
  <c r="AI236"/>
  <c r="AG236"/>
  <c r="AE236"/>
  <c r="AC236"/>
  <c r="AA236"/>
  <c r="Y236"/>
  <c r="W236"/>
  <c r="U236"/>
  <c r="T236"/>
  <c r="S236"/>
  <c r="AV236" s="1"/>
  <c r="P236"/>
  <c r="BE236" s="1"/>
  <c r="I236"/>
  <c r="D236"/>
  <c r="C236"/>
  <c r="BP235"/>
  <c r="BO235"/>
  <c r="BN235"/>
  <c r="BM235"/>
  <c r="BL235"/>
  <c r="BK235"/>
  <c r="BI235"/>
  <c r="BH235"/>
  <c r="BG235"/>
  <c r="BF235"/>
  <c r="BD235"/>
  <c r="AS235"/>
  <c r="AQ235"/>
  <c r="AO235"/>
  <c r="AM235"/>
  <c r="AK235"/>
  <c r="AI235"/>
  <c r="AG235"/>
  <c r="AE235"/>
  <c r="AC235"/>
  <c r="AA235"/>
  <c r="Y235"/>
  <c r="W235"/>
  <c r="U235"/>
  <c r="T235"/>
  <c r="S235"/>
  <c r="AZ235" s="1"/>
  <c r="P235"/>
  <c r="I235"/>
  <c r="G235"/>
  <c r="D235"/>
  <c r="C235"/>
  <c r="BP234"/>
  <c r="BO234"/>
  <c r="BN234"/>
  <c r="BM234"/>
  <c r="BL234"/>
  <c r="BK234"/>
  <c r="BI234"/>
  <c r="BH234"/>
  <c r="BG234"/>
  <c r="BF234"/>
  <c r="BD234"/>
  <c r="AS234"/>
  <c r="AQ234"/>
  <c r="AO234"/>
  <c r="AM234"/>
  <c r="AK234"/>
  <c r="AI234"/>
  <c r="AG234"/>
  <c r="AE234"/>
  <c r="AC234"/>
  <c r="AA234"/>
  <c r="Y234"/>
  <c r="W234"/>
  <c r="U234"/>
  <c r="T234"/>
  <c r="S234"/>
  <c r="AV234" s="1"/>
  <c r="P234"/>
  <c r="BE234" s="1"/>
  <c r="I234"/>
  <c r="D234"/>
  <c r="C234"/>
  <c r="BP233"/>
  <c r="BO233"/>
  <c r="BN233"/>
  <c r="BM233"/>
  <c r="BL233"/>
  <c r="BK233"/>
  <c r="BI233"/>
  <c r="BH233"/>
  <c r="BG233"/>
  <c r="BF233"/>
  <c r="BD233"/>
  <c r="AS233"/>
  <c r="AQ233"/>
  <c r="AO233"/>
  <c r="AM233"/>
  <c r="AK233"/>
  <c r="AI233"/>
  <c r="AG233"/>
  <c r="AE233"/>
  <c r="AC233"/>
  <c r="AA233"/>
  <c r="Y233"/>
  <c r="W233"/>
  <c r="U233"/>
  <c r="T233"/>
  <c r="S233"/>
  <c r="AZ233" s="1"/>
  <c r="P233"/>
  <c r="I233"/>
  <c r="G233"/>
  <c r="D233"/>
  <c r="C233"/>
  <c r="BP232"/>
  <c r="BO232"/>
  <c r="BN232"/>
  <c r="BM232"/>
  <c r="BL232"/>
  <c r="BK232"/>
  <c r="BI232"/>
  <c r="BH232"/>
  <c r="BG232"/>
  <c r="BF232"/>
  <c r="BD232"/>
  <c r="AS232"/>
  <c r="AQ232"/>
  <c r="AO232"/>
  <c r="AM232"/>
  <c r="AK232"/>
  <c r="AI232"/>
  <c r="AG232"/>
  <c r="AE232"/>
  <c r="AC232"/>
  <c r="AA232"/>
  <c r="Y232"/>
  <c r="W232"/>
  <c r="U232"/>
  <c r="T232"/>
  <c r="S232"/>
  <c r="AV232" s="1"/>
  <c r="P232"/>
  <c r="BE232" s="1"/>
  <c r="I232"/>
  <c r="D232"/>
  <c r="C232"/>
  <c r="BP231"/>
  <c r="BO231"/>
  <c r="BN231"/>
  <c r="BM231"/>
  <c r="BL231"/>
  <c r="BK231"/>
  <c r="BI231"/>
  <c r="BH231"/>
  <c r="BG231"/>
  <c r="BF231"/>
  <c r="BD231"/>
  <c r="AS231"/>
  <c r="AQ231"/>
  <c r="AO231"/>
  <c r="AM231"/>
  <c r="AK231"/>
  <c r="AI231"/>
  <c r="AG231"/>
  <c r="AE231"/>
  <c r="AC231"/>
  <c r="AA231"/>
  <c r="Y231"/>
  <c r="W231"/>
  <c r="U231"/>
  <c r="T231"/>
  <c r="S231"/>
  <c r="AV231" s="1"/>
  <c r="P231"/>
  <c r="I231"/>
  <c r="G231"/>
  <c r="D231"/>
  <c r="C231"/>
  <c r="BP230"/>
  <c r="BO230"/>
  <c r="BN230"/>
  <c r="BM230"/>
  <c r="BL230"/>
  <c r="BK230"/>
  <c r="BI230"/>
  <c r="BH230"/>
  <c r="BG230"/>
  <c r="BF230"/>
  <c r="BD230"/>
  <c r="AS230"/>
  <c r="AQ230"/>
  <c r="AO230"/>
  <c r="AM230"/>
  <c r="AK230"/>
  <c r="AI230"/>
  <c r="AG230"/>
  <c r="AE230"/>
  <c r="AC230"/>
  <c r="AA230"/>
  <c r="Y230"/>
  <c r="W230"/>
  <c r="U230"/>
  <c r="T230"/>
  <c r="S230"/>
  <c r="AV230" s="1"/>
  <c r="P230"/>
  <c r="BE230" s="1"/>
  <c r="I230"/>
  <c r="D230"/>
  <c r="C230"/>
  <c r="BP229"/>
  <c r="BO229"/>
  <c r="BN229"/>
  <c r="BM229"/>
  <c r="BL229"/>
  <c r="BK229"/>
  <c r="BI229"/>
  <c r="BH229"/>
  <c r="BG229"/>
  <c r="BF229"/>
  <c r="BD229"/>
  <c r="AS229"/>
  <c r="AQ229"/>
  <c r="AO229"/>
  <c r="AM229"/>
  <c r="AK229"/>
  <c r="AI229"/>
  <c r="AG229"/>
  <c r="AE229"/>
  <c r="AC229"/>
  <c r="AA229"/>
  <c r="Y229"/>
  <c r="W229"/>
  <c r="U229"/>
  <c r="T229"/>
  <c r="S229"/>
  <c r="AV229" s="1"/>
  <c r="P229"/>
  <c r="I229"/>
  <c r="G229"/>
  <c r="D229"/>
  <c r="C229"/>
  <c r="BP228"/>
  <c r="BO228"/>
  <c r="BN228"/>
  <c r="BM228"/>
  <c r="BL228"/>
  <c r="BK228"/>
  <c r="BI228"/>
  <c r="BH228"/>
  <c r="BG228"/>
  <c r="BF228"/>
  <c r="BD228"/>
  <c r="AS228"/>
  <c r="AQ228"/>
  <c r="AO228"/>
  <c r="AM228"/>
  <c r="AK228"/>
  <c r="AI228"/>
  <c r="AG228"/>
  <c r="AE228"/>
  <c r="AC228"/>
  <c r="AA228"/>
  <c r="Y228"/>
  <c r="W228"/>
  <c r="U228"/>
  <c r="T228"/>
  <c r="S228"/>
  <c r="AV228" s="1"/>
  <c r="P228"/>
  <c r="BE228" s="1"/>
  <c r="I228"/>
  <c r="D228"/>
  <c r="C228"/>
  <c r="BP227"/>
  <c r="BO227"/>
  <c r="BN227"/>
  <c r="BM227"/>
  <c r="BL227"/>
  <c r="BK227"/>
  <c r="BI227"/>
  <c r="BH227"/>
  <c r="BG227"/>
  <c r="BF227"/>
  <c r="BD227"/>
  <c r="AS227"/>
  <c r="AQ227"/>
  <c r="AO227"/>
  <c r="AM227"/>
  <c r="AK227"/>
  <c r="AI227"/>
  <c r="AG227"/>
  <c r="AE227"/>
  <c r="AC227"/>
  <c r="AA227"/>
  <c r="Y227"/>
  <c r="W227"/>
  <c r="U227"/>
  <c r="T227"/>
  <c r="S227"/>
  <c r="AV227" s="1"/>
  <c r="P227"/>
  <c r="I227"/>
  <c r="G227"/>
  <c r="D227"/>
  <c r="C227"/>
  <c r="BP226"/>
  <c r="BO226"/>
  <c r="BN226"/>
  <c r="BM226"/>
  <c r="BL226"/>
  <c r="BK226"/>
  <c r="BI226"/>
  <c r="BH226"/>
  <c r="BG226"/>
  <c r="BF226"/>
  <c r="BD226"/>
  <c r="AS226"/>
  <c r="AQ226"/>
  <c r="AO226"/>
  <c r="AM226"/>
  <c r="AK226"/>
  <c r="AI226"/>
  <c r="AG226"/>
  <c r="AE226"/>
  <c r="AC226"/>
  <c r="AA226"/>
  <c r="Y226"/>
  <c r="W226"/>
  <c r="U226"/>
  <c r="T226"/>
  <c r="S226"/>
  <c r="AY226" s="1"/>
  <c r="P226"/>
  <c r="BE226" s="1"/>
  <c r="I226"/>
  <c r="D226"/>
  <c r="C226"/>
  <c r="BP225"/>
  <c r="BO225"/>
  <c r="BN225"/>
  <c r="BM225"/>
  <c r="BL225"/>
  <c r="BK225"/>
  <c r="BI225"/>
  <c r="BH225"/>
  <c r="BG225"/>
  <c r="BF225"/>
  <c r="BD225"/>
  <c r="AS225"/>
  <c r="AQ225"/>
  <c r="AO225"/>
  <c r="AM225"/>
  <c r="AK225"/>
  <c r="AI225"/>
  <c r="AG225"/>
  <c r="AE225"/>
  <c r="AC225"/>
  <c r="AA225"/>
  <c r="Y225"/>
  <c r="W225"/>
  <c r="U225"/>
  <c r="T225"/>
  <c r="S225"/>
  <c r="AV225" s="1"/>
  <c r="P225"/>
  <c r="I225"/>
  <c r="G225"/>
  <c r="D225"/>
  <c r="C225"/>
  <c r="BP224"/>
  <c r="BO224"/>
  <c r="BN224"/>
  <c r="BM224"/>
  <c r="BL224"/>
  <c r="BK224"/>
  <c r="BI224"/>
  <c r="BH224"/>
  <c r="BG224"/>
  <c r="BF224"/>
  <c r="BD224"/>
  <c r="AS224"/>
  <c r="AQ224"/>
  <c r="AO224"/>
  <c r="AM224"/>
  <c r="AK224"/>
  <c r="AI224"/>
  <c r="AG224"/>
  <c r="AE224"/>
  <c r="AC224"/>
  <c r="AA224"/>
  <c r="Y224"/>
  <c r="W224"/>
  <c r="U224"/>
  <c r="T224"/>
  <c r="S224"/>
  <c r="AY224" s="1"/>
  <c r="P224"/>
  <c r="BE224" s="1"/>
  <c r="I224"/>
  <c r="D224"/>
  <c r="C224"/>
  <c r="BP223"/>
  <c r="BO223"/>
  <c r="BN223"/>
  <c r="BM223"/>
  <c r="BL223"/>
  <c r="BK223"/>
  <c r="BI223"/>
  <c r="BH223"/>
  <c r="BG223"/>
  <c r="BF223"/>
  <c r="BD223"/>
  <c r="AS223"/>
  <c r="AQ223"/>
  <c r="AO223"/>
  <c r="AM223"/>
  <c r="AK223"/>
  <c r="AI223"/>
  <c r="AG223"/>
  <c r="AE223"/>
  <c r="AC223"/>
  <c r="AA223"/>
  <c r="Y223"/>
  <c r="W223"/>
  <c r="U223"/>
  <c r="T223"/>
  <c r="S223"/>
  <c r="AV223" s="1"/>
  <c r="P223"/>
  <c r="I223"/>
  <c r="G223"/>
  <c r="D223"/>
  <c r="C223"/>
  <c r="BP222"/>
  <c r="BO222"/>
  <c r="BN222"/>
  <c r="BM222"/>
  <c r="BL222"/>
  <c r="BK222"/>
  <c r="BI222"/>
  <c r="BH222"/>
  <c r="BG222"/>
  <c r="BF222"/>
  <c r="BD222"/>
  <c r="AS222"/>
  <c r="AQ222"/>
  <c r="AO222"/>
  <c r="AM222"/>
  <c r="AK222"/>
  <c r="AI222"/>
  <c r="AG222"/>
  <c r="AE222"/>
  <c r="AC222"/>
  <c r="AA222"/>
  <c r="Y222"/>
  <c r="W222"/>
  <c r="U222"/>
  <c r="T222"/>
  <c r="S222"/>
  <c r="AY222" s="1"/>
  <c r="P222"/>
  <c r="BE222" s="1"/>
  <c r="I222"/>
  <c r="D222"/>
  <c r="C222"/>
  <c r="BP221"/>
  <c r="BO221"/>
  <c r="BN221"/>
  <c r="BM221"/>
  <c r="BL221"/>
  <c r="BK221"/>
  <c r="BI221"/>
  <c r="BH221"/>
  <c r="BG221"/>
  <c r="BF221"/>
  <c r="BD221"/>
  <c r="AS221"/>
  <c r="AQ221"/>
  <c r="AO221"/>
  <c r="AM221"/>
  <c r="AK221"/>
  <c r="AI221"/>
  <c r="AG221"/>
  <c r="AE221"/>
  <c r="AC221"/>
  <c r="AA221"/>
  <c r="Y221"/>
  <c r="W221"/>
  <c r="U221"/>
  <c r="T221"/>
  <c r="S221"/>
  <c r="P221"/>
  <c r="I221"/>
  <c r="G221"/>
  <c r="D221"/>
  <c r="C221"/>
  <c r="BP220"/>
  <c r="BO220"/>
  <c r="BN220"/>
  <c r="BM220"/>
  <c r="BL220"/>
  <c r="BK220"/>
  <c r="BI220"/>
  <c r="BH220"/>
  <c r="BG220"/>
  <c r="BF220"/>
  <c r="BD220"/>
  <c r="AS220"/>
  <c r="AQ220"/>
  <c r="AO220"/>
  <c r="AM220"/>
  <c r="AK220"/>
  <c r="AI220"/>
  <c r="AG220"/>
  <c r="AE220"/>
  <c r="AC220"/>
  <c r="AA220"/>
  <c r="Y220"/>
  <c r="W220"/>
  <c r="U220"/>
  <c r="T220"/>
  <c r="S220"/>
  <c r="AY220" s="1"/>
  <c r="P220"/>
  <c r="BE220" s="1"/>
  <c r="I220"/>
  <c r="D220"/>
  <c r="C220"/>
  <c r="BP219"/>
  <c r="BO219"/>
  <c r="BN219"/>
  <c r="BM219"/>
  <c r="BL219"/>
  <c r="BK219"/>
  <c r="BI219"/>
  <c r="BH219"/>
  <c r="BG219"/>
  <c r="BF219"/>
  <c r="BD219"/>
  <c r="AS219"/>
  <c r="AQ219"/>
  <c r="AO219"/>
  <c r="AM219"/>
  <c r="AK219"/>
  <c r="AI219"/>
  <c r="AG219"/>
  <c r="AE219"/>
  <c r="AC219"/>
  <c r="AA219"/>
  <c r="Y219"/>
  <c r="W219"/>
  <c r="U219"/>
  <c r="T219"/>
  <c r="S219"/>
  <c r="AV219" s="1"/>
  <c r="P219"/>
  <c r="I219"/>
  <c r="G219"/>
  <c r="D219"/>
  <c r="C219"/>
  <c r="BP218"/>
  <c r="BO218"/>
  <c r="BN218"/>
  <c r="BM218"/>
  <c r="BL218"/>
  <c r="BK218"/>
  <c r="BI218"/>
  <c r="BH218"/>
  <c r="BG218"/>
  <c r="BF218"/>
  <c r="BD218"/>
  <c r="AS218"/>
  <c r="AQ218"/>
  <c r="AO218"/>
  <c r="AM218"/>
  <c r="AK218"/>
  <c r="AI218"/>
  <c r="AG218"/>
  <c r="AE218"/>
  <c r="AC218"/>
  <c r="AA218"/>
  <c r="Y218"/>
  <c r="W218"/>
  <c r="U218"/>
  <c r="T218"/>
  <c r="S218"/>
  <c r="AY218" s="1"/>
  <c r="P218"/>
  <c r="BE218" s="1"/>
  <c r="I218"/>
  <c r="D218"/>
  <c r="C218"/>
  <c r="BP217"/>
  <c r="BO217"/>
  <c r="BN217"/>
  <c r="BM217"/>
  <c r="BL217"/>
  <c r="BK217"/>
  <c r="BI217"/>
  <c r="BH217"/>
  <c r="BG217"/>
  <c r="BF217"/>
  <c r="BD217"/>
  <c r="AS217"/>
  <c r="AQ217"/>
  <c r="AO217"/>
  <c r="AM217"/>
  <c r="AK217"/>
  <c r="AI217"/>
  <c r="AG217"/>
  <c r="AE217"/>
  <c r="AC217"/>
  <c r="AA217"/>
  <c r="Y217"/>
  <c r="W217"/>
  <c r="U217"/>
  <c r="T217"/>
  <c r="S217"/>
  <c r="AV217" s="1"/>
  <c r="P217"/>
  <c r="I217"/>
  <c r="G217"/>
  <c r="D217"/>
  <c r="C217"/>
  <c r="BP216"/>
  <c r="BO216"/>
  <c r="BN216"/>
  <c r="BM216"/>
  <c r="BL216"/>
  <c r="BK216"/>
  <c r="BI216"/>
  <c r="BH216"/>
  <c r="BG216"/>
  <c r="BF216"/>
  <c r="BD216"/>
  <c r="AS216"/>
  <c r="AQ216"/>
  <c r="AO216"/>
  <c r="AM216"/>
  <c r="AK216"/>
  <c r="AI216"/>
  <c r="AG216"/>
  <c r="AE216"/>
  <c r="AC216"/>
  <c r="AA216"/>
  <c r="Y216"/>
  <c r="W216"/>
  <c r="U216"/>
  <c r="T216"/>
  <c r="S216"/>
  <c r="AY216" s="1"/>
  <c r="P216"/>
  <c r="BE216" s="1"/>
  <c r="I216"/>
  <c r="D216"/>
  <c r="C216"/>
  <c r="BP215"/>
  <c r="BO215"/>
  <c r="BN215"/>
  <c r="BM215"/>
  <c r="BL215"/>
  <c r="BK215"/>
  <c r="BI215"/>
  <c r="BH215"/>
  <c r="BG215"/>
  <c r="BF215"/>
  <c r="BD215"/>
  <c r="AS215"/>
  <c r="AQ215"/>
  <c r="AO215"/>
  <c r="AM215"/>
  <c r="AK215"/>
  <c r="AI215"/>
  <c r="AG215"/>
  <c r="AE215"/>
  <c r="AC215"/>
  <c r="AA215"/>
  <c r="Y215"/>
  <c r="W215"/>
  <c r="U215"/>
  <c r="T215"/>
  <c r="S215"/>
  <c r="P215"/>
  <c r="I215"/>
  <c r="G215"/>
  <c r="D215"/>
  <c r="C215"/>
  <c r="BP214"/>
  <c r="BO214"/>
  <c r="BN214"/>
  <c r="BM214"/>
  <c r="BL214"/>
  <c r="BK214"/>
  <c r="BI214"/>
  <c r="BH214"/>
  <c r="BG214"/>
  <c r="BF214"/>
  <c r="BD214"/>
  <c r="AS214"/>
  <c r="AQ214"/>
  <c r="AO214"/>
  <c r="AM214"/>
  <c r="AK214"/>
  <c r="AI214"/>
  <c r="AG214"/>
  <c r="AE214"/>
  <c r="AC214"/>
  <c r="AA214"/>
  <c r="Y214"/>
  <c r="W214"/>
  <c r="U214"/>
  <c r="T214"/>
  <c r="S214"/>
  <c r="AY214" s="1"/>
  <c r="P214"/>
  <c r="BE214" s="1"/>
  <c r="I214"/>
  <c r="D214"/>
  <c r="C214"/>
  <c r="BP213"/>
  <c r="BO213"/>
  <c r="BN213"/>
  <c r="BM213"/>
  <c r="BL213"/>
  <c r="BK213"/>
  <c r="BI213"/>
  <c r="BH213"/>
  <c r="BG213"/>
  <c r="BF213"/>
  <c r="BD213"/>
  <c r="AS213"/>
  <c r="AQ213"/>
  <c r="AO213"/>
  <c r="AM213"/>
  <c r="AK213"/>
  <c r="AI213"/>
  <c r="AG213"/>
  <c r="AE213"/>
  <c r="AC213"/>
  <c r="AA213"/>
  <c r="Y213"/>
  <c r="W213"/>
  <c r="U213"/>
  <c r="T213"/>
  <c r="S213"/>
  <c r="AV213" s="1"/>
  <c r="P213"/>
  <c r="I213"/>
  <c r="G213"/>
  <c r="D213"/>
  <c r="C213"/>
  <c r="BP212"/>
  <c r="BO212"/>
  <c r="BN212"/>
  <c r="BM212"/>
  <c r="BL212"/>
  <c r="BK212"/>
  <c r="BI212"/>
  <c r="BH212"/>
  <c r="BG212"/>
  <c r="BF212"/>
  <c r="BD212"/>
  <c r="AS212"/>
  <c r="AQ212"/>
  <c r="AO212"/>
  <c r="AM212"/>
  <c r="AK212"/>
  <c r="AI212"/>
  <c r="AG212"/>
  <c r="AE212"/>
  <c r="AC212"/>
  <c r="AA212"/>
  <c r="Y212"/>
  <c r="W212"/>
  <c r="U212"/>
  <c r="T212"/>
  <c r="S212"/>
  <c r="AY212" s="1"/>
  <c r="P212"/>
  <c r="BE212" s="1"/>
  <c r="I212"/>
  <c r="D212"/>
  <c r="C212"/>
  <c r="BP211"/>
  <c r="BO211"/>
  <c r="BN211"/>
  <c r="BM211"/>
  <c r="BL211"/>
  <c r="BK211"/>
  <c r="BI211"/>
  <c r="BH211"/>
  <c r="BG211"/>
  <c r="BF211"/>
  <c r="BD211"/>
  <c r="AS211"/>
  <c r="AQ211"/>
  <c r="AO211"/>
  <c r="AM211"/>
  <c r="AK211"/>
  <c r="AI211"/>
  <c r="AG211"/>
  <c r="AE211"/>
  <c r="AC211"/>
  <c r="AA211"/>
  <c r="Y211"/>
  <c r="W211"/>
  <c r="U211"/>
  <c r="T211"/>
  <c r="S211"/>
  <c r="AV211" s="1"/>
  <c r="P211"/>
  <c r="I211"/>
  <c r="G211"/>
  <c r="D211"/>
  <c r="C211"/>
  <c r="BP210"/>
  <c r="BO210"/>
  <c r="BN210"/>
  <c r="BM210"/>
  <c r="BL210"/>
  <c r="BK210"/>
  <c r="BI210"/>
  <c r="BH210"/>
  <c r="BG210"/>
  <c r="BF210"/>
  <c r="BD210"/>
  <c r="AS210"/>
  <c r="AQ210"/>
  <c r="AO210"/>
  <c r="AM210"/>
  <c r="AK210"/>
  <c r="AI210"/>
  <c r="AG210"/>
  <c r="AE210"/>
  <c r="AC210"/>
  <c r="AA210"/>
  <c r="Y210"/>
  <c r="W210"/>
  <c r="U210"/>
  <c r="T210"/>
  <c r="S210"/>
  <c r="AY210" s="1"/>
  <c r="P210"/>
  <c r="BE210" s="1"/>
  <c r="I210"/>
  <c r="D210"/>
  <c r="C210"/>
  <c r="BP209"/>
  <c r="BO209"/>
  <c r="BN209"/>
  <c r="BM209"/>
  <c r="BL209"/>
  <c r="BK209"/>
  <c r="BI209"/>
  <c r="BH209"/>
  <c r="BG209"/>
  <c r="BF209"/>
  <c r="BD209"/>
  <c r="AS209"/>
  <c r="AQ209"/>
  <c r="AO209"/>
  <c r="AM209"/>
  <c r="AK209"/>
  <c r="AI209"/>
  <c r="AG209"/>
  <c r="AE209"/>
  <c r="AC209"/>
  <c r="AA209"/>
  <c r="Y209"/>
  <c r="W209"/>
  <c r="U209"/>
  <c r="T209"/>
  <c r="S209"/>
  <c r="AV209" s="1"/>
  <c r="P209"/>
  <c r="I209"/>
  <c r="G209"/>
  <c r="D209"/>
  <c r="C209"/>
  <c r="BP208"/>
  <c r="BO208"/>
  <c r="BN208"/>
  <c r="BM208"/>
  <c r="BL208"/>
  <c r="BK208"/>
  <c r="BI208"/>
  <c r="BH208"/>
  <c r="BG208"/>
  <c r="BF208"/>
  <c r="BD208"/>
  <c r="AS208"/>
  <c r="AQ208"/>
  <c r="AO208"/>
  <c r="AM208"/>
  <c r="AK208"/>
  <c r="AI208"/>
  <c r="AG208"/>
  <c r="AE208"/>
  <c r="AC208"/>
  <c r="AA208"/>
  <c r="Y208"/>
  <c r="W208"/>
  <c r="U208"/>
  <c r="T208"/>
  <c r="S208"/>
  <c r="AY208" s="1"/>
  <c r="P208"/>
  <c r="BE208" s="1"/>
  <c r="I208"/>
  <c r="D208"/>
  <c r="C208"/>
  <c r="BP207"/>
  <c r="BO207"/>
  <c r="BN207"/>
  <c r="BM207"/>
  <c r="BL207"/>
  <c r="BK207"/>
  <c r="BI207"/>
  <c r="BH207"/>
  <c r="BG207"/>
  <c r="BF207"/>
  <c r="BD207"/>
  <c r="AS207"/>
  <c r="AQ207"/>
  <c r="AO207"/>
  <c r="AM207"/>
  <c r="AK207"/>
  <c r="AI207"/>
  <c r="AG207"/>
  <c r="AE207"/>
  <c r="AC207"/>
  <c r="AA207"/>
  <c r="Y207"/>
  <c r="W207"/>
  <c r="U207"/>
  <c r="T207"/>
  <c r="S207"/>
  <c r="AV207" s="1"/>
  <c r="P207"/>
  <c r="I207"/>
  <c r="G207"/>
  <c r="D207"/>
  <c r="C207"/>
  <c r="BP206"/>
  <c r="BO206"/>
  <c r="BN206"/>
  <c r="BM206"/>
  <c r="BL206"/>
  <c r="BK206"/>
  <c r="BI206"/>
  <c r="BH206"/>
  <c r="BG206"/>
  <c r="BF206"/>
  <c r="BD206"/>
  <c r="AS206"/>
  <c r="AQ206"/>
  <c r="AO206"/>
  <c r="AM206"/>
  <c r="AK206"/>
  <c r="AI206"/>
  <c r="AG206"/>
  <c r="AE206"/>
  <c r="AC206"/>
  <c r="AA206"/>
  <c r="Y206"/>
  <c r="W206"/>
  <c r="U206"/>
  <c r="T206"/>
  <c r="S206"/>
  <c r="AY206" s="1"/>
  <c r="P206"/>
  <c r="BE206" s="1"/>
  <c r="I206"/>
  <c r="D206"/>
  <c r="C206"/>
  <c r="BP205"/>
  <c r="BO205"/>
  <c r="BN205"/>
  <c r="BM205"/>
  <c r="BL205"/>
  <c r="BK205"/>
  <c r="BI205"/>
  <c r="BH205"/>
  <c r="BG205"/>
  <c r="BF205"/>
  <c r="BD205"/>
  <c r="AS205"/>
  <c r="AQ205"/>
  <c r="AO205"/>
  <c r="AM205"/>
  <c r="AK205"/>
  <c r="AI205"/>
  <c r="AG205"/>
  <c r="AE205"/>
  <c r="AC205"/>
  <c r="AA205"/>
  <c r="Y205"/>
  <c r="W205"/>
  <c r="U205"/>
  <c r="T205"/>
  <c r="S205"/>
  <c r="AV205" s="1"/>
  <c r="P205"/>
  <c r="I205"/>
  <c r="G205"/>
  <c r="D205"/>
  <c r="C205"/>
  <c r="BP204"/>
  <c r="BO204"/>
  <c r="BN204"/>
  <c r="BM204"/>
  <c r="BL204"/>
  <c r="BK204"/>
  <c r="BI204"/>
  <c r="BH204"/>
  <c r="BG204"/>
  <c r="BF204"/>
  <c r="BD204"/>
  <c r="AS204"/>
  <c r="AQ204"/>
  <c r="AO204"/>
  <c r="AM204"/>
  <c r="AK204"/>
  <c r="AI204"/>
  <c r="AG204"/>
  <c r="AE204"/>
  <c r="AC204"/>
  <c r="AA204"/>
  <c r="Y204"/>
  <c r="W204"/>
  <c r="U204"/>
  <c r="T204"/>
  <c r="S204"/>
  <c r="AY204" s="1"/>
  <c r="P204"/>
  <c r="BE204" s="1"/>
  <c r="I204"/>
  <c r="D204"/>
  <c r="C204"/>
  <c r="BP203"/>
  <c r="BO203"/>
  <c r="BN203"/>
  <c r="BM203"/>
  <c r="BL203"/>
  <c r="BK203"/>
  <c r="BI203"/>
  <c r="BH203"/>
  <c r="BG203"/>
  <c r="BF203"/>
  <c r="BD203"/>
  <c r="AS203"/>
  <c r="AQ203"/>
  <c r="AO203"/>
  <c r="AM203"/>
  <c r="AK203"/>
  <c r="AI203"/>
  <c r="AG203"/>
  <c r="AE203"/>
  <c r="AC203"/>
  <c r="AA203"/>
  <c r="Y203"/>
  <c r="W203"/>
  <c r="U203"/>
  <c r="T203"/>
  <c r="S203"/>
  <c r="AV203" s="1"/>
  <c r="P203"/>
  <c r="I203"/>
  <c r="G203"/>
  <c r="D203"/>
  <c r="C203"/>
  <c r="BP202"/>
  <c r="BO202"/>
  <c r="BN202"/>
  <c r="BM202"/>
  <c r="BL202"/>
  <c r="BK202"/>
  <c r="BI202"/>
  <c r="BH202"/>
  <c r="BG202"/>
  <c r="BF202"/>
  <c r="BD202"/>
  <c r="AS202"/>
  <c r="AQ202"/>
  <c r="AO202"/>
  <c r="AM202"/>
  <c r="AK202"/>
  <c r="AI202"/>
  <c r="AG202"/>
  <c r="AE202"/>
  <c r="AC202"/>
  <c r="AA202"/>
  <c r="Y202"/>
  <c r="W202"/>
  <c r="U202"/>
  <c r="T202"/>
  <c r="S202"/>
  <c r="AY202" s="1"/>
  <c r="P202"/>
  <c r="BE202" s="1"/>
  <c r="I202"/>
  <c r="D202"/>
  <c r="C202"/>
  <c r="BP201"/>
  <c r="BO201"/>
  <c r="BN201"/>
  <c r="BM201"/>
  <c r="BL201"/>
  <c r="BK201"/>
  <c r="BI201"/>
  <c r="BH201"/>
  <c r="BG201"/>
  <c r="BF201"/>
  <c r="BD201"/>
  <c r="AS201"/>
  <c r="AQ201"/>
  <c r="AO201"/>
  <c r="AM201"/>
  <c r="AK201"/>
  <c r="AI201"/>
  <c r="AG201"/>
  <c r="AE201"/>
  <c r="AC201"/>
  <c r="AA201"/>
  <c r="Y201"/>
  <c r="W201"/>
  <c r="U201"/>
  <c r="T201"/>
  <c r="S201"/>
  <c r="P201"/>
  <c r="I201"/>
  <c r="G201"/>
  <c r="D201"/>
  <c r="C201"/>
  <c r="BP200"/>
  <c r="BO200"/>
  <c r="BN200"/>
  <c r="BM200"/>
  <c r="BL200"/>
  <c r="BK200"/>
  <c r="BI200"/>
  <c r="BH200"/>
  <c r="BG200"/>
  <c r="BF200"/>
  <c r="BD200"/>
  <c r="AS200"/>
  <c r="AQ200"/>
  <c r="AO200"/>
  <c r="AM200"/>
  <c r="AK200"/>
  <c r="AI200"/>
  <c r="AG200"/>
  <c r="AE200"/>
  <c r="AC200"/>
  <c r="AA200"/>
  <c r="Y200"/>
  <c r="W200"/>
  <c r="U200"/>
  <c r="T200"/>
  <c r="S200"/>
  <c r="AY200" s="1"/>
  <c r="P200"/>
  <c r="BE200" s="1"/>
  <c r="I200"/>
  <c r="D200"/>
  <c r="C200"/>
  <c r="BP199"/>
  <c r="BO199"/>
  <c r="BN199"/>
  <c r="BM199"/>
  <c r="BL199"/>
  <c r="BK199"/>
  <c r="BI199"/>
  <c r="BH199"/>
  <c r="BG199"/>
  <c r="BF199"/>
  <c r="BD199"/>
  <c r="AS199"/>
  <c r="AQ199"/>
  <c r="AO199"/>
  <c r="AM199"/>
  <c r="AK199"/>
  <c r="AI199"/>
  <c r="AG199"/>
  <c r="AE199"/>
  <c r="AC199"/>
  <c r="AA199"/>
  <c r="Y199"/>
  <c r="W199"/>
  <c r="U199"/>
  <c r="T199"/>
  <c r="S199"/>
  <c r="AW199" s="1"/>
  <c r="P199"/>
  <c r="I199"/>
  <c r="G199"/>
  <c r="D199"/>
  <c r="C199"/>
  <c r="BP198"/>
  <c r="BO198"/>
  <c r="BN198"/>
  <c r="BM198"/>
  <c r="BL198"/>
  <c r="BK198"/>
  <c r="BI198"/>
  <c r="BH198"/>
  <c r="BG198"/>
  <c r="BF198"/>
  <c r="BD198"/>
  <c r="AS198"/>
  <c r="AQ198"/>
  <c r="AO198"/>
  <c r="AM198"/>
  <c r="AK198"/>
  <c r="AI198"/>
  <c r="AG198"/>
  <c r="AE198"/>
  <c r="AC198"/>
  <c r="AA198"/>
  <c r="Y198"/>
  <c r="W198"/>
  <c r="U198"/>
  <c r="T198"/>
  <c r="S198"/>
  <c r="AY198" s="1"/>
  <c r="P198"/>
  <c r="BE198" s="1"/>
  <c r="I198"/>
  <c r="D198"/>
  <c r="C198"/>
  <c r="BP197"/>
  <c r="BO197"/>
  <c r="BN197"/>
  <c r="BM197"/>
  <c r="BL197"/>
  <c r="BK197"/>
  <c r="BI197"/>
  <c r="BH197"/>
  <c r="BG197"/>
  <c r="BF197"/>
  <c r="BD197"/>
  <c r="AS197"/>
  <c r="AQ197"/>
  <c r="AO197"/>
  <c r="AM197"/>
  <c r="AK197"/>
  <c r="AI197"/>
  <c r="AG197"/>
  <c r="AE197"/>
  <c r="AC197"/>
  <c r="AA197"/>
  <c r="Y197"/>
  <c r="W197"/>
  <c r="U197"/>
  <c r="T197"/>
  <c r="S197"/>
  <c r="AV197" s="1"/>
  <c r="P197"/>
  <c r="I197"/>
  <c r="G197"/>
  <c r="D197"/>
  <c r="C197"/>
  <c r="BP196"/>
  <c r="BO196"/>
  <c r="BN196"/>
  <c r="BM196"/>
  <c r="BL196"/>
  <c r="BK196"/>
  <c r="BI196"/>
  <c r="BH196"/>
  <c r="BG196"/>
  <c r="BF196"/>
  <c r="BD196"/>
  <c r="AS196"/>
  <c r="AQ196"/>
  <c r="AO196"/>
  <c r="AM196"/>
  <c r="AK196"/>
  <c r="AI196"/>
  <c r="AG196"/>
  <c r="AE196"/>
  <c r="AC196"/>
  <c r="AA196"/>
  <c r="Y196"/>
  <c r="W196"/>
  <c r="U196"/>
  <c r="T196"/>
  <c r="S196"/>
  <c r="AY196" s="1"/>
  <c r="P196"/>
  <c r="BE196" s="1"/>
  <c r="I196"/>
  <c r="D196"/>
  <c r="C196"/>
  <c r="BP195"/>
  <c r="BO195"/>
  <c r="BN195"/>
  <c r="BM195"/>
  <c r="BL195"/>
  <c r="BK195"/>
  <c r="BI195"/>
  <c r="BH195"/>
  <c r="BG195"/>
  <c r="BF195"/>
  <c r="BD195"/>
  <c r="AS195"/>
  <c r="AQ195"/>
  <c r="AO195"/>
  <c r="AM195"/>
  <c r="AK195"/>
  <c r="AI195"/>
  <c r="AG195"/>
  <c r="AE195"/>
  <c r="AC195"/>
  <c r="AA195"/>
  <c r="Y195"/>
  <c r="W195"/>
  <c r="U195"/>
  <c r="T195"/>
  <c r="S195"/>
  <c r="AX195" s="1"/>
  <c r="P195"/>
  <c r="I195"/>
  <c r="G195"/>
  <c r="D195"/>
  <c r="C195"/>
  <c r="BP194"/>
  <c r="BO194"/>
  <c r="BN194"/>
  <c r="BM194"/>
  <c r="BL194"/>
  <c r="BK194"/>
  <c r="BI194"/>
  <c r="BH194"/>
  <c r="BG194"/>
  <c r="BF194"/>
  <c r="BD194"/>
  <c r="AS194"/>
  <c r="AQ194"/>
  <c r="AO194"/>
  <c r="AM194"/>
  <c r="AK194"/>
  <c r="AI194"/>
  <c r="AG194"/>
  <c r="AE194"/>
  <c r="AC194"/>
  <c r="AA194"/>
  <c r="Y194"/>
  <c r="W194"/>
  <c r="U194"/>
  <c r="T194"/>
  <c r="S194"/>
  <c r="AV194" s="1"/>
  <c r="P194"/>
  <c r="BE194" s="1"/>
  <c r="I194"/>
  <c r="D194"/>
  <c r="C194"/>
  <c r="BP193"/>
  <c r="BO193"/>
  <c r="BN193"/>
  <c r="BM193"/>
  <c r="BL193"/>
  <c r="BK193"/>
  <c r="BI193"/>
  <c r="BH193"/>
  <c r="BG193"/>
  <c r="BF193"/>
  <c r="BD193"/>
  <c r="AS193"/>
  <c r="AQ193"/>
  <c r="AO193"/>
  <c r="AM193"/>
  <c r="AK193"/>
  <c r="AI193"/>
  <c r="AG193"/>
  <c r="AE193"/>
  <c r="AC193"/>
  <c r="AA193"/>
  <c r="Y193"/>
  <c r="W193"/>
  <c r="U193"/>
  <c r="T193"/>
  <c r="S193"/>
  <c r="AX193" s="1"/>
  <c r="P193"/>
  <c r="I193"/>
  <c r="G193"/>
  <c r="D193"/>
  <c r="C193"/>
  <c r="BP192"/>
  <c r="BO192"/>
  <c r="BN192"/>
  <c r="BM192"/>
  <c r="BL192"/>
  <c r="BK192"/>
  <c r="BI192"/>
  <c r="BH192"/>
  <c r="BG192"/>
  <c r="BF192"/>
  <c r="BD192"/>
  <c r="AS192"/>
  <c r="AQ192"/>
  <c r="AO192"/>
  <c r="AM192"/>
  <c r="AK192"/>
  <c r="AI192"/>
  <c r="AG192"/>
  <c r="AE192"/>
  <c r="AC192"/>
  <c r="AA192"/>
  <c r="Y192"/>
  <c r="W192"/>
  <c r="U192"/>
  <c r="T192"/>
  <c r="S192"/>
  <c r="AV192" s="1"/>
  <c r="P192"/>
  <c r="BE192" s="1"/>
  <c r="I192"/>
  <c r="D192"/>
  <c r="C192"/>
  <c r="BP191"/>
  <c r="BO191"/>
  <c r="BN191"/>
  <c r="BM191"/>
  <c r="BL191"/>
  <c r="BK191"/>
  <c r="BI191"/>
  <c r="BH191"/>
  <c r="BG191"/>
  <c r="BF191"/>
  <c r="BD191"/>
  <c r="AS191"/>
  <c r="AQ191"/>
  <c r="AO191"/>
  <c r="AM191"/>
  <c r="AK191"/>
  <c r="AI191"/>
  <c r="AG191"/>
  <c r="AE191"/>
  <c r="AC191"/>
  <c r="AA191"/>
  <c r="Y191"/>
  <c r="W191"/>
  <c r="U191"/>
  <c r="T191"/>
  <c r="S191"/>
  <c r="AX191" s="1"/>
  <c r="P191"/>
  <c r="I191"/>
  <c r="G191"/>
  <c r="D191"/>
  <c r="C191"/>
  <c r="BP190"/>
  <c r="BO190"/>
  <c r="BN190"/>
  <c r="BM190"/>
  <c r="BL190"/>
  <c r="BK190"/>
  <c r="BI190"/>
  <c r="BH190"/>
  <c r="BG190"/>
  <c r="BF190"/>
  <c r="BD190"/>
  <c r="AS190"/>
  <c r="AQ190"/>
  <c r="AO190"/>
  <c r="AM190"/>
  <c r="AK190"/>
  <c r="AI190"/>
  <c r="AG190"/>
  <c r="AE190"/>
  <c r="AC190"/>
  <c r="AA190"/>
  <c r="Y190"/>
  <c r="W190"/>
  <c r="U190"/>
  <c r="T190"/>
  <c r="S190"/>
  <c r="AV190" s="1"/>
  <c r="P190"/>
  <c r="BE190" s="1"/>
  <c r="I190"/>
  <c r="D190"/>
  <c r="C190"/>
  <c r="BP189"/>
  <c r="BO189"/>
  <c r="BN189"/>
  <c r="BM189"/>
  <c r="BL189"/>
  <c r="BK189"/>
  <c r="BI189"/>
  <c r="BH189"/>
  <c r="BG189"/>
  <c r="BF189"/>
  <c r="BD189"/>
  <c r="AS189"/>
  <c r="AQ189"/>
  <c r="AO189"/>
  <c r="AM189"/>
  <c r="AK189"/>
  <c r="AI189"/>
  <c r="AG189"/>
  <c r="AE189"/>
  <c r="AC189"/>
  <c r="AA189"/>
  <c r="Y189"/>
  <c r="W189"/>
  <c r="U189"/>
  <c r="T189"/>
  <c r="S189"/>
  <c r="AX189" s="1"/>
  <c r="P189"/>
  <c r="I189"/>
  <c r="G189"/>
  <c r="D189"/>
  <c r="C189"/>
  <c r="BP188"/>
  <c r="BO188"/>
  <c r="BN188"/>
  <c r="BM188"/>
  <c r="BL188"/>
  <c r="BK188"/>
  <c r="BI188"/>
  <c r="BH188"/>
  <c r="BG188"/>
  <c r="BF188"/>
  <c r="BD188"/>
  <c r="AS188"/>
  <c r="AQ188"/>
  <c r="AO188"/>
  <c r="AM188"/>
  <c r="AK188"/>
  <c r="AI188"/>
  <c r="AG188"/>
  <c r="AE188"/>
  <c r="AC188"/>
  <c r="AA188"/>
  <c r="Y188"/>
  <c r="W188"/>
  <c r="U188"/>
  <c r="T188"/>
  <c r="S188"/>
  <c r="AV188" s="1"/>
  <c r="P188"/>
  <c r="BE188" s="1"/>
  <c r="I188"/>
  <c r="D188"/>
  <c r="C188"/>
  <c r="BP187"/>
  <c r="BO187"/>
  <c r="BN187"/>
  <c r="BM187"/>
  <c r="BL187"/>
  <c r="BK187"/>
  <c r="BI187"/>
  <c r="BH187"/>
  <c r="BG187"/>
  <c r="BF187"/>
  <c r="BD187"/>
  <c r="AS187"/>
  <c r="AQ187"/>
  <c r="AO187"/>
  <c r="AM187"/>
  <c r="AK187"/>
  <c r="AI187"/>
  <c r="AG187"/>
  <c r="AE187"/>
  <c r="AC187"/>
  <c r="AA187"/>
  <c r="Y187"/>
  <c r="W187"/>
  <c r="U187"/>
  <c r="T187"/>
  <c r="S187"/>
  <c r="AX187" s="1"/>
  <c r="P187"/>
  <c r="I187"/>
  <c r="G187"/>
  <c r="D187"/>
  <c r="C187"/>
  <c r="BP186"/>
  <c r="BO186"/>
  <c r="BN186"/>
  <c r="BM186"/>
  <c r="BL186"/>
  <c r="BK186"/>
  <c r="BI186"/>
  <c r="BH186"/>
  <c r="BG186"/>
  <c r="BF186"/>
  <c r="BD186"/>
  <c r="AS186"/>
  <c r="AQ186"/>
  <c r="AO186"/>
  <c r="AM186"/>
  <c r="AK186"/>
  <c r="AI186"/>
  <c r="AG186"/>
  <c r="AE186"/>
  <c r="AC186"/>
  <c r="AA186"/>
  <c r="Y186"/>
  <c r="W186"/>
  <c r="U186"/>
  <c r="T186"/>
  <c r="S186"/>
  <c r="AV186" s="1"/>
  <c r="P186"/>
  <c r="BE186" s="1"/>
  <c r="I186"/>
  <c r="D186"/>
  <c r="C186"/>
  <c r="BP185"/>
  <c r="BO185"/>
  <c r="BN185"/>
  <c r="BM185"/>
  <c r="BL185"/>
  <c r="BK185"/>
  <c r="BI185"/>
  <c r="BH185"/>
  <c r="BG185"/>
  <c r="BF185"/>
  <c r="BD185"/>
  <c r="AS185"/>
  <c r="AQ185"/>
  <c r="AO185"/>
  <c r="AM185"/>
  <c r="AK185"/>
  <c r="AI185"/>
  <c r="AG185"/>
  <c r="AE185"/>
  <c r="AC185"/>
  <c r="AA185"/>
  <c r="Y185"/>
  <c r="W185"/>
  <c r="U185"/>
  <c r="T185"/>
  <c r="S185"/>
  <c r="AX185" s="1"/>
  <c r="P185"/>
  <c r="I185"/>
  <c r="G185"/>
  <c r="D185"/>
  <c r="C185"/>
  <c r="BP184"/>
  <c r="BO184"/>
  <c r="BN184"/>
  <c r="BM184"/>
  <c r="BL184"/>
  <c r="BK184"/>
  <c r="BI184"/>
  <c r="BH184"/>
  <c r="BG184"/>
  <c r="BF184"/>
  <c r="BD184"/>
  <c r="AS184"/>
  <c r="AQ184"/>
  <c r="AO184"/>
  <c r="AM184"/>
  <c r="AK184"/>
  <c r="AI184"/>
  <c r="AG184"/>
  <c r="AE184"/>
  <c r="AC184"/>
  <c r="AA184"/>
  <c r="Y184"/>
  <c r="W184"/>
  <c r="U184"/>
  <c r="T184"/>
  <c r="S184"/>
  <c r="AV184" s="1"/>
  <c r="P184"/>
  <c r="BE184" s="1"/>
  <c r="I184"/>
  <c r="D184"/>
  <c r="C184"/>
  <c r="BP183"/>
  <c r="BO183"/>
  <c r="BN183"/>
  <c r="BM183"/>
  <c r="BL183"/>
  <c r="BK183"/>
  <c r="BI183"/>
  <c r="BH183"/>
  <c r="BG183"/>
  <c r="BF183"/>
  <c r="BD183"/>
  <c r="AS183"/>
  <c r="AQ183"/>
  <c r="AO183"/>
  <c r="AM183"/>
  <c r="AK183"/>
  <c r="AI183"/>
  <c r="AG183"/>
  <c r="AE183"/>
  <c r="AC183"/>
  <c r="AA183"/>
  <c r="Y183"/>
  <c r="W183"/>
  <c r="U183"/>
  <c r="T183"/>
  <c r="S183"/>
  <c r="AX183" s="1"/>
  <c r="P183"/>
  <c r="I183"/>
  <c r="G183"/>
  <c r="D183"/>
  <c r="C183"/>
  <c r="BP182"/>
  <c r="BO182"/>
  <c r="BN182"/>
  <c r="BM182"/>
  <c r="BL182"/>
  <c r="BK182"/>
  <c r="BI182"/>
  <c r="BH182"/>
  <c r="BG182"/>
  <c r="BF182"/>
  <c r="BD182"/>
  <c r="AS182"/>
  <c r="AQ182"/>
  <c r="AO182"/>
  <c r="AM182"/>
  <c r="AK182"/>
  <c r="AI182"/>
  <c r="AG182"/>
  <c r="AE182"/>
  <c r="AC182"/>
  <c r="AA182"/>
  <c r="Y182"/>
  <c r="W182"/>
  <c r="U182"/>
  <c r="T182"/>
  <c r="S182"/>
  <c r="AV182" s="1"/>
  <c r="P182"/>
  <c r="BE182" s="1"/>
  <c r="I182"/>
  <c r="D182"/>
  <c r="C182"/>
  <c r="BP181"/>
  <c r="BO181"/>
  <c r="BN181"/>
  <c r="BM181"/>
  <c r="BL181"/>
  <c r="BK181"/>
  <c r="BI181"/>
  <c r="BH181"/>
  <c r="BG181"/>
  <c r="BF181"/>
  <c r="BD181"/>
  <c r="AS181"/>
  <c r="AQ181"/>
  <c r="AO181"/>
  <c r="AM181"/>
  <c r="AK181"/>
  <c r="AI181"/>
  <c r="AG181"/>
  <c r="AE181"/>
  <c r="AC181"/>
  <c r="AA181"/>
  <c r="Y181"/>
  <c r="W181"/>
  <c r="U181"/>
  <c r="T181"/>
  <c r="S181"/>
  <c r="AX181" s="1"/>
  <c r="P181"/>
  <c r="I181"/>
  <c r="G181"/>
  <c r="D181"/>
  <c r="C181"/>
  <c r="BP180"/>
  <c r="BO180"/>
  <c r="BN180"/>
  <c r="BM180"/>
  <c r="BL180"/>
  <c r="BK180"/>
  <c r="BI180"/>
  <c r="BH180"/>
  <c r="BG180"/>
  <c r="BF180"/>
  <c r="BD180"/>
  <c r="AS180"/>
  <c r="AQ180"/>
  <c r="AO180"/>
  <c r="AM180"/>
  <c r="AK180"/>
  <c r="AI180"/>
  <c r="AG180"/>
  <c r="AE180"/>
  <c r="AC180"/>
  <c r="AA180"/>
  <c r="Y180"/>
  <c r="W180"/>
  <c r="U180"/>
  <c r="T180"/>
  <c r="S180"/>
  <c r="P180"/>
  <c r="BE180" s="1"/>
  <c r="I180"/>
  <c r="D180"/>
  <c r="C180"/>
  <c r="BP179"/>
  <c r="BO179"/>
  <c r="BN179"/>
  <c r="BM179"/>
  <c r="BL179"/>
  <c r="BK179"/>
  <c r="BI179"/>
  <c r="BH179"/>
  <c r="BG179"/>
  <c r="BF179"/>
  <c r="BD179"/>
  <c r="AS179"/>
  <c r="AQ179"/>
  <c r="AO179"/>
  <c r="AM179"/>
  <c r="AK179"/>
  <c r="AI179"/>
  <c r="AG179"/>
  <c r="AE179"/>
  <c r="AC179"/>
  <c r="AA179"/>
  <c r="Y179"/>
  <c r="W179"/>
  <c r="U179"/>
  <c r="T179"/>
  <c r="S179"/>
  <c r="AX179" s="1"/>
  <c r="P179"/>
  <c r="I179"/>
  <c r="G179"/>
  <c r="D179"/>
  <c r="C179"/>
  <c r="BP178"/>
  <c r="BO178"/>
  <c r="BN178"/>
  <c r="BM178"/>
  <c r="BL178"/>
  <c r="BK178"/>
  <c r="BI178"/>
  <c r="BH178"/>
  <c r="BG178"/>
  <c r="BF178"/>
  <c r="BD178"/>
  <c r="AS178"/>
  <c r="AQ178"/>
  <c r="AO178"/>
  <c r="AM178"/>
  <c r="AK178"/>
  <c r="AI178"/>
  <c r="AG178"/>
  <c r="AE178"/>
  <c r="AC178"/>
  <c r="AA178"/>
  <c r="Y178"/>
  <c r="W178"/>
  <c r="U178"/>
  <c r="T178"/>
  <c r="S178"/>
  <c r="AV178" s="1"/>
  <c r="P178"/>
  <c r="BE178" s="1"/>
  <c r="I178"/>
  <c r="D178"/>
  <c r="C178"/>
  <c r="BP177"/>
  <c r="BO177"/>
  <c r="BN177"/>
  <c r="BM177"/>
  <c r="BL177"/>
  <c r="BK177"/>
  <c r="BI177"/>
  <c r="BH177"/>
  <c r="BG177"/>
  <c r="BF177"/>
  <c r="BD177"/>
  <c r="AS177"/>
  <c r="AQ177"/>
  <c r="AO177"/>
  <c r="AM177"/>
  <c r="AK177"/>
  <c r="AI177"/>
  <c r="AG177"/>
  <c r="AE177"/>
  <c r="AC177"/>
  <c r="AA177"/>
  <c r="Y177"/>
  <c r="W177"/>
  <c r="U177"/>
  <c r="T177"/>
  <c r="S177"/>
  <c r="AX177" s="1"/>
  <c r="P177"/>
  <c r="I177"/>
  <c r="G177"/>
  <c r="D177"/>
  <c r="C177"/>
  <c r="BP176"/>
  <c r="BO176"/>
  <c r="BN176"/>
  <c r="BM176"/>
  <c r="BL176"/>
  <c r="BK176"/>
  <c r="BI176"/>
  <c r="BH176"/>
  <c r="BG176"/>
  <c r="BF176"/>
  <c r="BD176"/>
  <c r="AS176"/>
  <c r="AQ176"/>
  <c r="AO176"/>
  <c r="AM176"/>
  <c r="AK176"/>
  <c r="AI176"/>
  <c r="AG176"/>
  <c r="AE176"/>
  <c r="AC176"/>
  <c r="AA176"/>
  <c r="Y176"/>
  <c r="W176"/>
  <c r="U176"/>
  <c r="T176"/>
  <c r="S176"/>
  <c r="AV176" s="1"/>
  <c r="P176"/>
  <c r="BE176" s="1"/>
  <c r="I176"/>
  <c r="D176"/>
  <c r="C176"/>
  <c r="BP175"/>
  <c r="BO175"/>
  <c r="BN175"/>
  <c r="BM175"/>
  <c r="BL175"/>
  <c r="BK175"/>
  <c r="BI175"/>
  <c r="BH175"/>
  <c r="BG175"/>
  <c r="BF175"/>
  <c r="BD175"/>
  <c r="AS175"/>
  <c r="AQ175"/>
  <c r="AO175"/>
  <c r="AM175"/>
  <c r="AK175"/>
  <c r="AI175"/>
  <c r="AG175"/>
  <c r="AE175"/>
  <c r="AC175"/>
  <c r="AA175"/>
  <c r="Y175"/>
  <c r="W175"/>
  <c r="U175"/>
  <c r="T175"/>
  <c r="S175"/>
  <c r="AX175" s="1"/>
  <c r="P175"/>
  <c r="I175"/>
  <c r="G175"/>
  <c r="D175"/>
  <c r="C175"/>
  <c r="BP174"/>
  <c r="BO174"/>
  <c r="BN174"/>
  <c r="BM174"/>
  <c r="BL174"/>
  <c r="BK174"/>
  <c r="BI174"/>
  <c r="BH174"/>
  <c r="BG174"/>
  <c r="BF174"/>
  <c r="BD174"/>
  <c r="AS174"/>
  <c r="AQ174"/>
  <c r="AO174"/>
  <c r="AM174"/>
  <c r="AK174"/>
  <c r="AI174"/>
  <c r="AG174"/>
  <c r="AE174"/>
  <c r="AC174"/>
  <c r="AA174"/>
  <c r="Y174"/>
  <c r="W174"/>
  <c r="U174"/>
  <c r="T174"/>
  <c r="S174"/>
  <c r="AV174" s="1"/>
  <c r="P174"/>
  <c r="BE174" s="1"/>
  <c r="I174"/>
  <c r="D174"/>
  <c r="C174"/>
  <c r="BP173"/>
  <c r="BO173"/>
  <c r="BN173"/>
  <c r="BM173"/>
  <c r="BL173"/>
  <c r="BK173"/>
  <c r="BI173"/>
  <c r="BH173"/>
  <c r="BG173"/>
  <c r="BF173"/>
  <c r="BD173"/>
  <c r="AS173"/>
  <c r="AQ173"/>
  <c r="AO173"/>
  <c r="AM173"/>
  <c r="AK173"/>
  <c r="AI173"/>
  <c r="AG173"/>
  <c r="AE173"/>
  <c r="AC173"/>
  <c r="AA173"/>
  <c r="Y173"/>
  <c r="W173"/>
  <c r="U173"/>
  <c r="T173"/>
  <c r="S173"/>
  <c r="AX173" s="1"/>
  <c r="P173"/>
  <c r="I173"/>
  <c r="G173"/>
  <c r="D173"/>
  <c r="C173"/>
  <c r="BP172"/>
  <c r="BO172"/>
  <c r="BN172"/>
  <c r="BM172"/>
  <c r="BL172"/>
  <c r="BK172"/>
  <c r="BI172"/>
  <c r="BH172"/>
  <c r="BG172"/>
  <c r="BF172"/>
  <c r="BD172"/>
  <c r="AS172"/>
  <c r="AQ172"/>
  <c r="AO172"/>
  <c r="AM172"/>
  <c r="AK172"/>
  <c r="AI172"/>
  <c r="AG172"/>
  <c r="AE172"/>
  <c r="AC172"/>
  <c r="AA172"/>
  <c r="Y172"/>
  <c r="W172"/>
  <c r="U172"/>
  <c r="T172"/>
  <c r="S172"/>
  <c r="AV172" s="1"/>
  <c r="P172"/>
  <c r="BE172" s="1"/>
  <c r="I172"/>
  <c r="D172"/>
  <c r="C172"/>
  <c r="BP171"/>
  <c r="BO171"/>
  <c r="BN171"/>
  <c r="BM171"/>
  <c r="BL171"/>
  <c r="BK171"/>
  <c r="BI171"/>
  <c r="BH171"/>
  <c r="BG171"/>
  <c r="BF171"/>
  <c r="BD171"/>
  <c r="AS171"/>
  <c r="AQ171"/>
  <c r="AO171"/>
  <c r="AM171"/>
  <c r="AK171"/>
  <c r="AI171"/>
  <c r="AG171"/>
  <c r="AE171"/>
  <c r="AC171"/>
  <c r="AA171"/>
  <c r="Y171"/>
  <c r="W171"/>
  <c r="U171"/>
  <c r="T171"/>
  <c r="S171"/>
  <c r="AX171" s="1"/>
  <c r="P171"/>
  <c r="I171"/>
  <c r="G171"/>
  <c r="D171"/>
  <c r="C171"/>
  <c r="BP170"/>
  <c r="BO170"/>
  <c r="BN170"/>
  <c r="BM170"/>
  <c r="BL170"/>
  <c r="BK170"/>
  <c r="BI170"/>
  <c r="BH170"/>
  <c r="BG170"/>
  <c r="BF170"/>
  <c r="BD170"/>
  <c r="AS170"/>
  <c r="AQ170"/>
  <c r="AO170"/>
  <c r="AM170"/>
  <c r="AK170"/>
  <c r="AI170"/>
  <c r="AG170"/>
  <c r="AE170"/>
  <c r="AC170"/>
  <c r="AA170"/>
  <c r="Y170"/>
  <c r="W170"/>
  <c r="U170"/>
  <c r="T170"/>
  <c r="S170"/>
  <c r="AV170" s="1"/>
  <c r="P170"/>
  <c r="BE170" s="1"/>
  <c r="I170"/>
  <c r="D170"/>
  <c r="C170"/>
  <c r="BP169"/>
  <c r="BO169"/>
  <c r="BN169"/>
  <c r="BM169"/>
  <c r="BL169"/>
  <c r="BK169"/>
  <c r="BI169"/>
  <c r="BH169"/>
  <c r="BG169"/>
  <c r="BF169"/>
  <c r="BD169"/>
  <c r="AS169"/>
  <c r="AQ169"/>
  <c r="AO169"/>
  <c r="AM169"/>
  <c r="AK169"/>
  <c r="AI169"/>
  <c r="AG169"/>
  <c r="AE169"/>
  <c r="AC169"/>
  <c r="AA169"/>
  <c r="Y169"/>
  <c r="W169"/>
  <c r="U169"/>
  <c r="T169"/>
  <c r="S169"/>
  <c r="AX169" s="1"/>
  <c r="P169"/>
  <c r="I169"/>
  <c r="G169"/>
  <c r="D169"/>
  <c r="C169"/>
  <c r="BP168"/>
  <c r="BO168"/>
  <c r="BN168"/>
  <c r="BM168"/>
  <c r="BL168"/>
  <c r="BK168"/>
  <c r="BI168"/>
  <c r="BH168"/>
  <c r="BG168"/>
  <c r="BF168"/>
  <c r="BD168"/>
  <c r="AS168"/>
  <c r="AQ168"/>
  <c r="AO168"/>
  <c r="AM168"/>
  <c r="AK168"/>
  <c r="AI168"/>
  <c r="AG168"/>
  <c r="AE168"/>
  <c r="AC168"/>
  <c r="AA168"/>
  <c r="Y168"/>
  <c r="W168"/>
  <c r="U168"/>
  <c r="T168"/>
  <c r="S168"/>
  <c r="AV168" s="1"/>
  <c r="P168"/>
  <c r="BE168" s="1"/>
  <c r="I168"/>
  <c r="D168"/>
  <c r="C168"/>
  <c r="BP167"/>
  <c r="BO167"/>
  <c r="BN167"/>
  <c r="BM167"/>
  <c r="BL167"/>
  <c r="BK167"/>
  <c r="BI167"/>
  <c r="BH167"/>
  <c r="BG167"/>
  <c r="BF167"/>
  <c r="BD167"/>
  <c r="AS167"/>
  <c r="AQ167"/>
  <c r="AO167"/>
  <c r="AM167"/>
  <c r="AK167"/>
  <c r="AI167"/>
  <c r="AG167"/>
  <c r="AE167"/>
  <c r="AC167"/>
  <c r="AA167"/>
  <c r="Y167"/>
  <c r="W167"/>
  <c r="U167"/>
  <c r="T167"/>
  <c r="S167"/>
  <c r="AX167" s="1"/>
  <c r="P167"/>
  <c r="I167"/>
  <c r="G167"/>
  <c r="D167"/>
  <c r="C167"/>
  <c r="BP166"/>
  <c r="BO166"/>
  <c r="BN166"/>
  <c r="BM166"/>
  <c r="BL166"/>
  <c r="BK166"/>
  <c r="BI166"/>
  <c r="BH166"/>
  <c r="BG166"/>
  <c r="BF166"/>
  <c r="BD166"/>
  <c r="AS166"/>
  <c r="AQ166"/>
  <c r="AO166"/>
  <c r="AM166"/>
  <c r="AK166"/>
  <c r="AI166"/>
  <c r="AG166"/>
  <c r="AE166"/>
  <c r="AC166"/>
  <c r="AA166"/>
  <c r="Y166"/>
  <c r="W166"/>
  <c r="U166"/>
  <c r="T166"/>
  <c r="S166"/>
  <c r="AV166" s="1"/>
  <c r="P166"/>
  <c r="BE166" s="1"/>
  <c r="I166"/>
  <c r="D166"/>
  <c r="C166"/>
  <c r="BP165"/>
  <c r="BO165"/>
  <c r="BN165"/>
  <c r="BM165"/>
  <c r="BL165"/>
  <c r="BK165"/>
  <c r="BI165"/>
  <c r="BH165"/>
  <c r="BG165"/>
  <c r="BF165"/>
  <c r="BD165"/>
  <c r="AS165"/>
  <c r="AQ165"/>
  <c r="AO165"/>
  <c r="AM165"/>
  <c r="AK165"/>
  <c r="AI165"/>
  <c r="AG165"/>
  <c r="AE165"/>
  <c r="AC165"/>
  <c r="AA165"/>
  <c r="Y165"/>
  <c r="W165"/>
  <c r="U165"/>
  <c r="T165"/>
  <c r="S165"/>
  <c r="AX165" s="1"/>
  <c r="P165"/>
  <c r="I165"/>
  <c r="G165"/>
  <c r="D165"/>
  <c r="C165"/>
  <c r="BP164"/>
  <c r="BO164"/>
  <c r="BN164"/>
  <c r="BM164"/>
  <c r="BL164"/>
  <c r="BK164"/>
  <c r="BI164"/>
  <c r="BH164"/>
  <c r="BG164"/>
  <c r="BF164"/>
  <c r="BD164"/>
  <c r="AS164"/>
  <c r="AQ164"/>
  <c r="AO164"/>
  <c r="AM164"/>
  <c r="AK164"/>
  <c r="AI164"/>
  <c r="AG164"/>
  <c r="AE164"/>
  <c r="AC164"/>
  <c r="AA164"/>
  <c r="Y164"/>
  <c r="W164"/>
  <c r="U164"/>
  <c r="T164"/>
  <c r="S164"/>
  <c r="AV164" s="1"/>
  <c r="P164"/>
  <c r="BE164" s="1"/>
  <c r="I164"/>
  <c r="D164"/>
  <c r="C164"/>
  <c r="BP163"/>
  <c r="BO163"/>
  <c r="BN163"/>
  <c r="BM163"/>
  <c r="BL163"/>
  <c r="BK163"/>
  <c r="BI163"/>
  <c r="BH163"/>
  <c r="BG163"/>
  <c r="BF163"/>
  <c r="BD163"/>
  <c r="AS163"/>
  <c r="AQ163"/>
  <c r="AO163"/>
  <c r="AM163"/>
  <c r="AK163"/>
  <c r="AI163"/>
  <c r="AG163"/>
  <c r="AE163"/>
  <c r="AC163"/>
  <c r="AA163"/>
  <c r="Y163"/>
  <c r="W163"/>
  <c r="U163"/>
  <c r="T163"/>
  <c r="S163"/>
  <c r="AY163" s="1"/>
  <c r="P163"/>
  <c r="I163"/>
  <c r="G163"/>
  <c r="D163"/>
  <c r="C163"/>
  <c r="BP162"/>
  <c r="BO162"/>
  <c r="BN162"/>
  <c r="BM162"/>
  <c r="BL162"/>
  <c r="BK162"/>
  <c r="BI162"/>
  <c r="BH162"/>
  <c r="BG162"/>
  <c r="BF162"/>
  <c r="BD162"/>
  <c r="AS162"/>
  <c r="AQ162"/>
  <c r="AO162"/>
  <c r="AM162"/>
  <c r="AK162"/>
  <c r="AI162"/>
  <c r="AG162"/>
  <c r="AE162"/>
  <c r="AC162"/>
  <c r="AA162"/>
  <c r="Y162"/>
  <c r="W162"/>
  <c r="U162"/>
  <c r="T162"/>
  <c r="S162"/>
  <c r="AV162" s="1"/>
  <c r="P162"/>
  <c r="BE162" s="1"/>
  <c r="I162"/>
  <c r="D162"/>
  <c r="C162"/>
  <c r="BP161"/>
  <c r="BO161"/>
  <c r="BN161"/>
  <c r="BM161"/>
  <c r="BL161"/>
  <c r="BK161"/>
  <c r="BI161"/>
  <c r="BH161"/>
  <c r="BG161"/>
  <c r="BF161"/>
  <c r="BD161"/>
  <c r="AS161"/>
  <c r="AQ161"/>
  <c r="AO161"/>
  <c r="AM161"/>
  <c r="AK161"/>
  <c r="AI161"/>
  <c r="AG161"/>
  <c r="AE161"/>
  <c r="AC161"/>
  <c r="AA161"/>
  <c r="Y161"/>
  <c r="W161"/>
  <c r="U161"/>
  <c r="T161"/>
  <c r="S161"/>
  <c r="AZ161" s="1"/>
  <c r="P161"/>
  <c r="I161"/>
  <c r="G161"/>
  <c r="D161"/>
  <c r="C161"/>
  <c r="BP160"/>
  <c r="BO160"/>
  <c r="BN160"/>
  <c r="BM160"/>
  <c r="BL160"/>
  <c r="BK160"/>
  <c r="BI160"/>
  <c r="BH160"/>
  <c r="BG160"/>
  <c r="BF160"/>
  <c r="BD160"/>
  <c r="AS160"/>
  <c r="AQ160"/>
  <c r="AO160"/>
  <c r="AM160"/>
  <c r="AK160"/>
  <c r="AI160"/>
  <c r="AG160"/>
  <c r="AE160"/>
  <c r="AC160"/>
  <c r="AA160"/>
  <c r="Y160"/>
  <c r="W160"/>
  <c r="U160"/>
  <c r="T160"/>
  <c r="S160"/>
  <c r="AW160" s="1"/>
  <c r="P160"/>
  <c r="BE160" s="1"/>
  <c r="I160"/>
  <c r="D160"/>
  <c r="C160"/>
  <c r="BP159"/>
  <c r="BO159"/>
  <c r="BN159"/>
  <c r="BM159"/>
  <c r="BL159"/>
  <c r="BK159"/>
  <c r="BI159"/>
  <c r="BH159"/>
  <c r="BG159"/>
  <c r="BF159"/>
  <c r="BD159"/>
  <c r="AS159"/>
  <c r="AQ159"/>
  <c r="AO159"/>
  <c r="AM159"/>
  <c r="AK159"/>
  <c r="AI159"/>
  <c r="AG159"/>
  <c r="AE159"/>
  <c r="AC159"/>
  <c r="AA159"/>
  <c r="Y159"/>
  <c r="W159"/>
  <c r="U159"/>
  <c r="T159"/>
  <c r="S159"/>
  <c r="AV159" s="1"/>
  <c r="P159"/>
  <c r="I159"/>
  <c r="G159"/>
  <c r="D159"/>
  <c r="C159"/>
  <c r="BP158"/>
  <c r="BO158"/>
  <c r="BN158"/>
  <c r="BM158"/>
  <c r="BL158"/>
  <c r="BK158"/>
  <c r="BI158"/>
  <c r="BH158"/>
  <c r="BG158"/>
  <c r="BF158"/>
  <c r="BD158"/>
  <c r="AS158"/>
  <c r="AQ158"/>
  <c r="AO158"/>
  <c r="AM158"/>
  <c r="AK158"/>
  <c r="AI158"/>
  <c r="AG158"/>
  <c r="AE158"/>
  <c r="AC158"/>
  <c r="AA158"/>
  <c r="Y158"/>
  <c r="W158"/>
  <c r="U158"/>
  <c r="T158"/>
  <c r="S158"/>
  <c r="AW158" s="1"/>
  <c r="P158"/>
  <c r="BE158" s="1"/>
  <c r="I158"/>
  <c r="D158"/>
  <c r="C158"/>
  <c r="BP157"/>
  <c r="BO157"/>
  <c r="BN157"/>
  <c r="BM157"/>
  <c r="BL157"/>
  <c r="BK157"/>
  <c r="BI157"/>
  <c r="BH157"/>
  <c r="BG157"/>
  <c r="BF157"/>
  <c r="BD157"/>
  <c r="AS157"/>
  <c r="AQ157"/>
  <c r="AO157"/>
  <c r="AM157"/>
  <c r="AK157"/>
  <c r="AI157"/>
  <c r="AG157"/>
  <c r="AE157"/>
  <c r="AC157"/>
  <c r="AA157"/>
  <c r="Y157"/>
  <c r="W157"/>
  <c r="U157"/>
  <c r="T157"/>
  <c r="S157"/>
  <c r="AZ157" s="1"/>
  <c r="P157"/>
  <c r="I157"/>
  <c r="G157"/>
  <c r="D157"/>
  <c r="C157"/>
  <c r="BP156"/>
  <c r="BO156"/>
  <c r="BN156"/>
  <c r="BM156"/>
  <c r="BL156"/>
  <c r="BK156"/>
  <c r="BI156"/>
  <c r="BH156"/>
  <c r="BG156"/>
  <c r="BF156"/>
  <c r="BD156"/>
  <c r="AS156"/>
  <c r="AQ156"/>
  <c r="AO156"/>
  <c r="AM156"/>
  <c r="AK156"/>
  <c r="AI156"/>
  <c r="AG156"/>
  <c r="AE156"/>
  <c r="AC156"/>
  <c r="AA156"/>
  <c r="Y156"/>
  <c r="W156"/>
  <c r="U156"/>
  <c r="T156"/>
  <c r="S156"/>
  <c r="AW156" s="1"/>
  <c r="P156"/>
  <c r="BE156" s="1"/>
  <c r="I156"/>
  <c r="D156"/>
  <c r="C156"/>
  <c r="BP155"/>
  <c r="BO155"/>
  <c r="BN155"/>
  <c r="BM155"/>
  <c r="BL155"/>
  <c r="BK155"/>
  <c r="BI155"/>
  <c r="BH155"/>
  <c r="BG155"/>
  <c r="BF155"/>
  <c r="BD155"/>
  <c r="AS155"/>
  <c r="AQ155"/>
  <c r="AO155"/>
  <c r="AM155"/>
  <c r="AK155"/>
  <c r="AI155"/>
  <c r="AG155"/>
  <c r="AE155"/>
  <c r="AC155"/>
  <c r="AA155"/>
  <c r="Y155"/>
  <c r="W155"/>
  <c r="U155"/>
  <c r="T155"/>
  <c r="S155"/>
  <c r="AZ155" s="1"/>
  <c r="P155"/>
  <c r="I155"/>
  <c r="G155"/>
  <c r="D155"/>
  <c r="C155"/>
  <c r="BP154"/>
  <c r="BO154"/>
  <c r="BN154"/>
  <c r="BM154"/>
  <c r="BL154"/>
  <c r="BK154"/>
  <c r="BI154"/>
  <c r="BH154"/>
  <c r="BG154"/>
  <c r="BF154"/>
  <c r="BD154"/>
  <c r="AS154"/>
  <c r="AQ154"/>
  <c r="AO154"/>
  <c r="AM154"/>
  <c r="AK154"/>
  <c r="AI154"/>
  <c r="AG154"/>
  <c r="AE154"/>
  <c r="AC154"/>
  <c r="AA154"/>
  <c r="Y154"/>
  <c r="W154"/>
  <c r="U154"/>
  <c r="T154"/>
  <c r="S154"/>
  <c r="AW154" s="1"/>
  <c r="P154"/>
  <c r="BE154" s="1"/>
  <c r="I154"/>
  <c r="D154"/>
  <c r="C154"/>
  <c r="BP153"/>
  <c r="BO153"/>
  <c r="BN153"/>
  <c r="BM153"/>
  <c r="BL153"/>
  <c r="BK153"/>
  <c r="BI153"/>
  <c r="BH153"/>
  <c r="BG153"/>
  <c r="BF153"/>
  <c r="BD153"/>
  <c r="AS153"/>
  <c r="AQ153"/>
  <c r="AO153"/>
  <c r="AM153"/>
  <c r="AK153"/>
  <c r="AI153"/>
  <c r="AG153"/>
  <c r="AE153"/>
  <c r="AC153"/>
  <c r="AA153"/>
  <c r="Y153"/>
  <c r="W153"/>
  <c r="U153"/>
  <c r="T153"/>
  <c r="S153"/>
  <c r="AZ153" s="1"/>
  <c r="P153"/>
  <c r="I153"/>
  <c r="G153"/>
  <c r="D153"/>
  <c r="C153"/>
  <c r="BP152"/>
  <c r="BO152"/>
  <c r="BN152"/>
  <c r="BM152"/>
  <c r="BL152"/>
  <c r="BK152"/>
  <c r="BI152"/>
  <c r="BH152"/>
  <c r="BG152"/>
  <c r="BF152"/>
  <c r="BD152"/>
  <c r="AS152"/>
  <c r="AQ152"/>
  <c r="AO152"/>
  <c r="AM152"/>
  <c r="AK152"/>
  <c r="AI152"/>
  <c r="AG152"/>
  <c r="AE152"/>
  <c r="AC152"/>
  <c r="AA152"/>
  <c r="Y152"/>
  <c r="W152"/>
  <c r="U152"/>
  <c r="T152"/>
  <c r="S152"/>
  <c r="AW152" s="1"/>
  <c r="P152"/>
  <c r="BE152" s="1"/>
  <c r="I152"/>
  <c r="C152"/>
  <c r="BP151"/>
  <c r="BO151"/>
  <c r="BN151"/>
  <c r="BM151"/>
  <c r="BL151"/>
  <c r="BK151"/>
  <c r="BI151"/>
  <c r="BH151"/>
  <c r="BG151"/>
  <c r="BF151"/>
  <c r="BD151"/>
  <c r="AS151"/>
  <c r="AQ151"/>
  <c r="AO151"/>
  <c r="AM151"/>
  <c r="AK151"/>
  <c r="AI151"/>
  <c r="AG151"/>
  <c r="AE151"/>
  <c r="AC151"/>
  <c r="AA151"/>
  <c r="Y151"/>
  <c r="W151"/>
  <c r="U151"/>
  <c r="T151"/>
  <c r="P151"/>
  <c r="I151"/>
  <c r="D151"/>
  <c r="C151"/>
  <c r="BP150"/>
  <c r="BO150"/>
  <c r="BN150"/>
  <c r="BM150"/>
  <c r="BL150"/>
  <c r="BK150"/>
  <c r="BI150"/>
  <c r="BH150"/>
  <c r="BG150"/>
  <c r="BF150"/>
  <c r="BD150"/>
  <c r="AS150"/>
  <c r="AQ150"/>
  <c r="AO150"/>
  <c r="AM150"/>
  <c r="AK150"/>
  <c r="AI150"/>
  <c r="AG150"/>
  <c r="AE150"/>
  <c r="AC150"/>
  <c r="AA150"/>
  <c r="Y150"/>
  <c r="W150"/>
  <c r="U150"/>
  <c r="T150"/>
  <c r="S150"/>
  <c r="AW150" s="1"/>
  <c r="P150"/>
  <c r="BE150" s="1"/>
  <c r="I150"/>
  <c r="C150"/>
  <c r="BP149"/>
  <c r="BO149"/>
  <c r="BN149"/>
  <c r="BM149"/>
  <c r="BL149"/>
  <c r="BK149"/>
  <c r="BI149"/>
  <c r="BH149"/>
  <c r="BG149"/>
  <c r="BF149"/>
  <c r="BD149"/>
  <c r="AS149"/>
  <c r="AQ149"/>
  <c r="AO149"/>
  <c r="AM149"/>
  <c r="AK149"/>
  <c r="AI149"/>
  <c r="AG149"/>
  <c r="AE149"/>
  <c r="AC149"/>
  <c r="AA149"/>
  <c r="Y149"/>
  <c r="W149"/>
  <c r="U149"/>
  <c r="T149"/>
  <c r="P149"/>
  <c r="I149"/>
  <c r="D149"/>
  <c r="C149"/>
  <c r="BP148"/>
  <c r="BO148"/>
  <c r="BN148"/>
  <c r="BM148"/>
  <c r="BL148"/>
  <c r="BK148"/>
  <c r="BI148"/>
  <c r="BH148"/>
  <c r="BG148"/>
  <c r="BF148"/>
  <c r="BD148"/>
  <c r="AS148"/>
  <c r="AQ148"/>
  <c r="AO148"/>
  <c r="AM148"/>
  <c r="AK148"/>
  <c r="AI148"/>
  <c r="AG148"/>
  <c r="AE148"/>
  <c r="AC148"/>
  <c r="AA148"/>
  <c r="Y148"/>
  <c r="W148"/>
  <c r="U148"/>
  <c r="T148"/>
  <c r="S148"/>
  <c r="AW148" s="1"/>
  <c r="P148"/>
  <c r="BE148" s="1"/>
  <c r="I148"/>
  <c r="C148"/>
  <c r="BP147"/>
  <c r="BO147"/>
  <c r="BN147"/>
  <c r="BM147"/>
  <c r="BL147"/>
  <c r="BK147"/>
  <c r="BI147"/>
  <c r="BH147"/>
  <c r="BG147"/>
  <c r="BF147"/>
  <c r="BD147"/>
  <c r="AS147"/>
  <c r="AQ147"/>
  <c r="AO147"/>
  <c r="AM147"/>
  <c r="AK147"/>
  <c r="AI147"/>
  <c r="AG147"/>
  <c r="AE147"/>
  <c r="AC147"/>
  <c r="AA147"/>
  <c r="Y147"/>
  <c r="W147"/>
  <c r="U147"/>
  <c r="T147"/>
  <c r="S147"/>
  <c r="AZ147" s="1"/>
  <c r="P147"/>
  <c r="I147"/>
  <c r="G147"/>
  <c r="D147"/>
  <c r="C147"/>
  <c r="BP146"/>
  <c r="BO146"/>
  <c r="BN146"/>
  <c r="BM146"/>
  <c r="BL146"/>
  <c r="BK146"/>
  <c r="BI146"/>
  <c r="BH146"/>
  <c r="BG146"/>
  <c r="BF146"/>
  <c r="BD146"/>
  <c r="AS146"/>
  <c r="AQ146"/>
  <c r="AO146"/>
  <c r="AM146"/>
  <c r="AK146"/>
  <c r="AI146"/>
  <c r="AG146"/>
  <c r="AE146"/>
  <c r="AC146"/>
  <c r="AA146"/>
  <c r="Y146"/>
  <c r="W146"/>
  <c r="U146"/>
  <c r="T146"/>
  <c r="S146"/>
  <c r="AW146" s="1"/>
  <c r="P146"/>
  <c r="BE146" s="1"/>
  <c r="I146"/>
  <c r="C146"/>
  <c r="BP145"/>
  <c r="BO145"/>
  <c r="BN145"/>
  <c r="BM145"/>
  <c r="BL145"/>
  <c r="BK145"/>
  <c r="BI145"/>
  <c r="BH145"/>
  <c r="BG145"/>
  <c r="BF145"/>
  <c r="BD145"/>
  <c r="AS145"/>
  <c r="AQ145"/>
  <c r="AO145"/>
  <c r="AM145"/>
  <c r="AK145"/>
  <c r="AI145"/>
  <c r="AG145"/>
  <c r="AE145"/>
  <c r="AC145"/>
  <c r="AA145"/>
  <c r="Y145"/>
  <c r="W145"/>
  <c r="U145"/>
  <c r="T145"/>
  <c r="P145"/>
  <c r="I145"/>
  <c r="D145"/>
  <c r="C145"/>
  <c r="BP144"/>
  <c r="BO144"/>
  <c r="BN144"/>
  <c r="BM144"/>
  <c r="BL144"/>
  <c r="BK144"/>
  <c r="BI144"/>
  <c r="BH144"/>
  <c r="BG144"/>
  <c r="BF144"/>
  <c r="BD144"/>
  <c r="AS144"/>
  <c r="AQ144"/>
  <c r="AO144"/>
  <c r="AM144"/>
  <c r="AK144"/>
  <c r="AI144"/>
  <c r="AG144"/>
  <c r="AE144"/>
  <c r="AC144"/>
  <c r="AA144"/>
  <c r="Y144"/>
  <c r="W144"/>
  <c r="U144"/>
  <c r="T144"/>
  <c r="S144"/>
  <c r="AW144" s="1"/>
  <c r="P144"/>
  <c r="BE144" s="1"/>
  <c r="I144"/>
  <c r="C144"/>
  <c r="BP143"/>
  <c r="BO143"/>
  <c r="BN143"/>
  <c r="BM143"/>
  <c r="BL143"/>
  <c r="BK143"/>
  <c r="BI143"/>
  <c r="BH143"/>
  <c r="BG143"/>
  <c r="BF143"/>
  <c r="BD143"/>
  <c r="AS143"/>
  <c r="AQ143"/>
  <c r="AO143"/>
  <c r="AM143"/>
  <c r="AK143"/>
  <c r="AI143"/>
  <c r="AG143"/>
  <c r="AE143"/>
  <c r="AC143"/>
  <c r="AA143"/>
  <c r="Y143"/>
  <c r="W143"/>
  <c r="U143"/>
  <c r="T143"/>
  <c r="P143"/>
  <c r="I143"/>
  <c r="D143"/>
  <c r="C143"/>
  <c r="BP142"/>
  <c r="BO142"/>
  <c r="BN142"/>
  <c r="BM142"/>
  <c r="BL142"/>
  <c r="BK142"/>
  <c r="BI142"/>
  <c r="BH142"/>
  <c r="BG142"/>
  <c r="BF142"/>
  <c r="BD142"/>
  <c r="AS142"/>
  <c r="AQ142"/>
  <c r="AO142"/>
  <c r="AM142"/>
  <c r="AK142"/>
  <c r="AI142"/>
  <c r="AG142"/>
  <c r="AE142"/>
  <c r="AC142"/>
  <c r="AA142"/>
  <c r="Y142"/>
  <c r="W142"/>
  <c r="U142"/>
  <c r="T142"/>
  <c r="S142"/>
  <c r="AW142" s="1"/>
  <c r="P142"/>
  <c r="BE142" s="1"/>
  <c r="I142"/>
  <c r="C142"/>
  <c r="BP141"/>
  <c r="BO141"/>
  <c r="BN141"/>
  <c r="BM141"/>
  <c r="BL141"/>
  <c r="BK141"/>
  <c r="BI141"/>
  <c r="BH141"/>
  <c r="BG141"/>
  <c r="BF141"/>
  <c r="BD141"/>
  <c r="AS141"/>
  <c r="AQ141"/>
  <c r="AO141"/>
  <c r="AM141"/>
  <c r="AK141"/>
  <c r="AI141"/>
  <c r="AG141"/>
  <c r="AE141"/>
  <c r="AC141"/>
  <c r="AA141"/>
  <c r="Y141"/>
  <c r="W141"/>
  <c r="U141"/>
  <c r="T141"/>
  <c r="P141"/>
  <c r="I141"/>
  <c r="D141"/>
  <c r="C141"/>
  <c r="BP140"/>
  <c r="BO140"/>
  <c r="BN140"/>
  <c r="BM140"/>
  <c r="BL140"/>
  <c r="BK140"/>
  <c r="BI140"/>
  <c r="BH140"/>
  <c r="BG140"/>
  <c r="BF140"/>
  <c r="BD140"/>
  <c r="AS140"/>
  <c r="AQ140"/>
  <c r="AO140"/>
  <c r="AM140"/>
  <c r="AK140"/>
  <c r="AI140"/>
  <c r="AG140"/>
  <c r="AE140"/>
  <c r="AC140"/>
  <c r="AA140"/>
  <c r="Y140"/>
  <c r="W140"/>
  <c r="U140"/>
  <c r="T140"/>
  <c r="S140"/>
  <c r="AW140" s="1"/>
  <c r="P140"/>
  <c r="BE140" s="1"/>
  <c r="I140"/>
  <c r="C140"/>
  <c r="BP139"/>
  <c r="BO139"/>
  <c r="BN139"/>
  <c r="BM139"/>
  <c r="BL139"/>
  <c r="BK139"/>
  <c r="BI139"/>
  <c r="BH139"/>
  <c r="BG139"/>
  <c r="BF139"/>
  <c r="BD139"/>
  <c r="AS139"/>
  <c r="AQ139"/>
  <c r="AO139"/>
  <c r="AM139"/>
  <c r="AK139"/>
  <c r="AI139"/>
  <c r="AG139"/>
  <c r="AE139"/>
  <c r="AC139"/>
  <c r="AA139"/>
  <c r="Y139"/>
  <c r="W139"/>
  <c r="U139"/>
  <c r="T139"/>
  <c r="P139"/>
  <c r="I139"/>
  <c r="D139"/>
  <c r="C139"/>
  <c r="BP138"/>
  <c r="BO138"/>
  <c r="BN138"/>
  <c r="BM138"/>
  <c r="BL138"/>
  <c r="BK138"/>
  <c r="BI138"/>
  <c r="BH138"/>
  <c r="BG138"/>
  <c r="BF138"/>
  <c r="BD138"/>
  <c r="AS138"/>
  <c r="AQ138"/>
  <c r="AO138"/>
  <c r="AM138"/>
  <c r="AK138"/>
  <c r="AI138"/>
  <c r="AG138"/>
  <c r="AE138"/>
  <c r="AC138"/>
  <c r="AA138"/>
  <c r="Y138"/>
  <c r="W138"/>
  <c r="U138"/>
  <c r="T138"/>
  <c r="S138"/>
  <c r="AW138" s="1"/>
  <c r="P138"/>
  <c r="BE138" s="1"/>
  <c r="I138"/>
  <c r="C138"/>
  <c r="BP137"/>
  <c r="BO137"/>
  <c r="BN137"/>
  <c r="BM137"/>
  <c r="BL137"/>
  <c r="BK137"/>
  <c r="BI137"/>
  <c r="BH137"/>
  <c r="BG137"/>
  <c r="BF137"/>
  <c r="BD137"/>
  <c r="AS137"/>
  <c r="AQ137"/>
  <c r="AO137"/>
  <c r="AM137"/>
  <c r="AK137"/>
  <c r="AI137"/>
  <c r="AG137"/>
  <c r="AE137"/>
  <c r="AC137"/>
  <c r="AA137"/>
  <c r="Y137"/>
  <c r="W137"/>
  <c r="U137"/>
  <c r="T137"/>
  <c r="P137"/>
  <c r="I137"/>
  <c r="D137"/>
  <c r="C137"/>
  <c r="BP136"/>
  <c r="BO136"/>
  <c r="BN136"/>
  <c r="BM136"/>
  <c r="BL136"/>
  <c r="BK136"/>
  <c r="BI136"/>
  <c r="BH136"/>
  <c r="BG136"/>
  <c r="BF136"/>
  <c r="BD136"/>
  <c r="AS136"/>
  <c r="AQ136"/>
  <c r="AO136"/>
  <c r="AM136"/>
  <c r="AK136"/>
  <c r="AI136"/>
  <c r="AG136"/>
  <c r="AE136"/>
  <c r="AC136"/>
  <c r="AA136"/>
  <c r="Y136"/>
  <c r="W136"/>
  <c r="U136"/>
  <c r="T136"/>
  <c r="S136"/>
  <c r="AW136" s="1"/>
  <c r="P136"/>
  <c r="BE136" s="1"/>
  <c r="I136"/>
  <c r="C136"/>
  <c r="BP135"/>
  <c r="BO135"/>
  <c r="BN135"/>
  <c r="BM135"/>
  <c r="BL135"/>
  <c r="BK135"/>
  <c r="BI135"/>
  <c r="BH135"/>
  <c r="BG135"/>
  <c r="BF135"/>
  <c r="BD135"/>
  <c r="AS135"/>
  <c r="AQ135"/>
  <c r="AO135"/>
  <c r="AM135"/>
  <c r="AK135"/>
  <c r="AI135"/>
  <c r="AG135"/>
  <c r="AE135"/>
  <c r="AC135"/>
  <c r="AA135"/>
  <c r="Y135"/>
  <c r="W135"/>
  <c r="U135"/>
  <c r="T135"/>
  <c r="P135"/>
  <c r="I135"/>
  <c r="D135"/>
  <c r="C135"/>
  <c r="BP134"/>
  <c r="BO134"/>
  <c r="BN134"/>
  <c r="BM134"/>
  <c r="BL134"/>
  <c r="BK134"/>
  <c r="BI134"/>
  <c r="BH134"/>
  <c r="BG134"/>
  <c r="BF134"/>
  <c r="BD134"/>
  <c r="AS134"/>
  <c r="AQ134"/>
  <c r="AO134"/>
  <c r="AM134"/>
  <c r="AK134"/>
  <c r="AI134"/>
  <c r="AG134"/>
  <c r="AE134"/>
  <c r="AC134"/>
  <c r="AA134"/>
  <c r="Y134"/>
  <c r="W134"/>
  <c r="U134"/>
  <c r="T134"/>
  <c r="S134"/>
  <c r="AW134" s="1"/>
  <c r="BE134"/>
  <c r="I134"/>
  <c r="C134"/>
  <c r="BP133"/>
  <c r="BO133"/>
  <c r="BN133"/>
  <c r="BL133"/>
  <c r="BK133"/>
  <c r="BI133"/>
  <c r="BH133"/>
  <c r="BG133"/>
  <c r="BF133"/>
  <c r="BD133"/>
  <c r="AS133"/>
  <c r="AQ133"/>
  <c r="AO133"/>
  <c r="AM133"/>
  <c r="AK133"/>
  <c r="AI133"/>
  <c r="T133"/>
  <c r="I133"/>
  <c r="D133"/>
  <c r="C133"/>
  <c r="BP132"/>
  <c r="BO132"/>
  <c r="BN132"/>
  <c r="BM132"/>
  <c r="BL132"/>
  <c r="BK132"/>
  <c r="BI132"/>
  <c r="BH132"/>
  <c r="BG132"/>
  <c r="BF132"/>
  <c r="BD132"/>
  <c r="AS132"/>
  <c r="AQ132"/>
  <c r="AO132"/>
  <c r="AM132"/>
  <c r="AK132"/>
  <c r="AI132"/>
  <c r="AG132"/>
  <c r="AE132"/>
  <c r="AC132"/>
  <c r="AA132"/>
  <c r="Y132"/>
  <c r="W132"/>
  <c r="U132"/>
  <c r="T132"/>
  <c r="S132"/>
  <c r="AW132" s="1"/>
  <c r="BE132"/>
  <c r="I132"/>
  <c r="C132"/>
  <c r="BP131"/>
  <c r="BO131"/>
  <c r="BN131"/>
  <c r="BL131"/>
  <c r="BK131"/>
  <c r="BI131"/>
  <c r="BH131"/>
  <c r="BG131"/>
  <c r="BF131"/>
  <c r="BD131"/>
  <c r="AS131"/>
  <c r="AQ131"/>
  <c r="AO131"/>
  <c r="AM131"/>
  <c r="AK131"/>
  <c r="AI131"/>
  <c r="T131"/>
  <c r="I131"/>
  <c r="D131"/>
  <c r="C131"/>
  <c r="BP130"/>
  <c r="BO130"/>
  <c r="BN130"/>
  <c r="BM130"/>
  <c r="BL130"/>
  <c r="BK130"/>
  <c r="BI130"/>
  <c r="BH130"/>
  <c r="BG130"/>
  <c r="BF130"/>
  <c r="BD130"/>
  <c r="AS130"/>
  <c r="AQ130"/>
  <c r="AO130"/>
  <c r="AM130"/>
  <c r="AK130"/>
  <c r="AI130"/>
  <c r="AG130"/>
  <c r="AE130"/>
  <c r="AC130"/>
  <c r="AA130"/>
  <c r="Y130"/>
  <c r="W130"/>
  <c r="U130"/>
  <c r="T130"/>
  <c r="S130"/>
  <c r="AW130" s="1"/>
  <c r="BE130"/>
  <c r="I130"/>
  <c r="C130"/>
  <c r="BP129"/>
  <c r="BO129"/>
  <c r="BN129"/>
  <c r="BM129"/>
  <c r="BL129"/>
  <c r="BK129"/>
  <c r="BI129"/>
  <c r="BH129"/>
  <c r="BG129"/>
  <c r="BF129"/>
  <c r="BD129"/>
  <c r="AS129"/>
  <c r="AQ129"/>
  <c r="AO129"/>
  <c r="AM129"/>
  <c r="AK129"/>
  <c r="AI129"/>
  <c r="AG129"/>
  <c r="AE129"/>
  <c r="AC129"/>
  <c r="AA129"/>
  <c r="Y129"/>
  <c r="W129"/>
  <c r="U129"/>
  <c r="T129"/>
  <c r="I129"/>
  <c r="D129"/>
  <c r="C129"/>
  <c r="BP128"/>
  <c r="BO128"/>
  <c r="BN128"/>
  <c r="BM128"/>
  <c r="BL128"/>
  <c r="BK128"/>
  <c r="BI128"/>
  <c r="BH128"/>
  <c r="BG128"/>
  <c r="BF128"/>
  <c r="BD128"/>
  <c r="AS128"/>
  <c r="AQ128"/>
  <c r="AO128"/>
  <c r="AM128"/>
  <c r="AK128"/>
  <c r="AI128"/>
  <c r="AG128"/>
  <c r="AE128"/>
  <c r="AC128"/>
  <c r="AA128"/>
  <c r="Y128"/>
  <c r="W128"/>
  <c r="U128"/>
  <c r="T128"/>
  <c r="S128"/>
  <c r="AW128" s="1"/>
  <c r="I128"/>
  <c r="C128"/>
  <c r="BP127"/>
  <c r="BO127"/>
  <c r="BN127"/>
  <c r="BF127"/>
  <c r="AG127"/>
  <c r="AE127"/>
  <c r="AC127"/>
  <c r="AA127"/>
  <c r="Y127"/>
  <c r="W127"/>
  <c r="U127"/>
  <c r="T127"/>
  <c r="I127"/>
  <c r="D127"/>
  <c r="C127"/>
  <c r="BP126"/>
  <c r="BO126"/>
  <c r="BN126"/>
  <c r="BM126"/>
  <c r="BL126"/>
  <c r="BK126"/>
  <c r="BI126"/>
  <c r="BH126"/>
  <c r="BG126"/>
  <c r="BF126"/>
  <c r="BD126"/>
  <c r="AS126"/>
  <c r="AQ126"/>
  <c r="AO126"/>
  <c r="AM126"/>
  <c r="AK126"/>
  <c r="AI126"/>
  <c r="AG126"/>
  <c r="AE126"/>
  <c r="AC126"/>
  <c r="AA126"/>
  <c r="Y126"/>
  <c r="W126"/>
  <c r="U126"/>
  <c r="T126"/>
  <c r="S126"/>
  <c r="AW126" s="1"/>
  <c r="BE126"/>
  <c r="I126"/>
  <c r="C126"/>
  <c r="BP125"/>
  <c r="BO125"/>
  <c r="BN125"/>
  <c r="BI125"/>
  <c r="BF125"/>
  <c r="AG125"/>
  <c r="AE125"/>
  <c r="AC125"/>
  <c r="AA125"/>
  <c r="Y125"/>
  <c r="W125"/>
  <c r="U125"/>
  <c r="T125"/>
  <c r="I125"/>
  <c r="D125"/>
  <c r="C125"/>
  <c r="BP124"/>
  <c r="BO124"/>
  <c r="BN124"/>
  <c r="BM124"/>
  <c r="BL124"/>
  <c r="BK124"/>
  <c r="BI124"/>
  <c r="BH124"/>
  <c r="BG124"/>
  <c r="BF124"/>
  <c r="BD124"/>
  <c r="AS124"/>
  <c r="AQ124"/>
  <c r="AO124"/>
  <c r="AM124"/>
  <c r="AK124"/>
  <c r="AI124"/>
  <c r="AG124"/>
  <c r="AE124"/>
  <c r="AC124"/>
  <c r="AA124"/>
  <c r="Y124"/>
  <c r="W124"/>
  <c r="U124"/>
  <c r="T124"/>
  <c r="S124"/>
  <c r="AW124" s="1"/>
  <c r="BE124"/>
  <c r="I124"/>
  <c r="C124"/>
  <c r="BP123"/>
  <c r="BO123"/>
  <c r="BN123"/>
  <c r="BK123"/>
  <c r="BI123"/>
  <c r="BF123"/>
  <c r="T123"/>
  <c r="I123"/>
  <c r="D123"/>
  <c r="C123"/>
  <c r="BP122"/>
  <c r="BO122"/>
  <c r="BN122"/>
  <c r="BM122"/>
  <c r="BL122"/>
  <c r="BK122"/>
  <c r="BI122"/>
  <c r="BH122"/>
  <c r="BG122"/>
  <c r="BF122"/>
  <c r="BD122"/>
  <c r="AS122"/>
  <c r="AQ122"/>
  <c r="AO122"/>
  <c r="AM122"/>
  <c r="AK122"/>
  <c r="AI122"/>
  <c r="AG122"/>
  <c r="AE122"/>
  <c r="AC122"/>
  <c r="AA122"/>
  <c r="Y122"/>
  <c r="W122"/>
  <c r="U122"/>
  <c r="T122"/>
  <c r="S122"/>
  <c r="AW122" s="1"/>
  <c r="I122"/>
  <c r="C122"/>
  <c r="BP121"/>
  <c r="BO121"/>
  <c r="BN121"/>
  <c r="BL121"/>
  <c r="BK121"/>
  <c r="BI121"/>
  <c r="BH121"/>
  <c r="BG121"/>
  <c r="BF121"/>
  <c r="BD121"/>
  <c r="AS121"/>
  <c r="AQ121"/>
  <c r="AO121"/>
  <c r="AM121"/>
  <c r="AK121"/>
  <c r="AI121"/>
  <c r="T121"/>
  <c r="I121"/>
  <c r="D121"/>
  <c r="C121"/>
  <c r="BP120"/>
  <c r="BO120"/>
  <c r="BN120"/>
  <c r="BM120"/>
  <c r="BL120"/>
  <c r="BK120"/>
  <c r="BI120"/>
  <c r="BH120"/>
  <c r="BG120"/>
  <c r="BF120"/>
  <c r="BD120"/>
  <c r="AS120"/>
  <c r="AQ120"/>
  <c r="AO120"/>
  <c r="AM120"/>
  <c r="AK120"/>
  <c r="AI120"/>
  <c r="AG120"/>
  <c r="AE120"/>
  <c r="AC120"/>
  <c r="AA120"/>
  <c r="Y120"/>
  <c r="W120"/>
  <c r="U120"/>
  <c r="T120"/>
  <c r="S120"/>
  <c r="AW120" s="1"/>
  <c r="I120"/>
  <c r="C120"/>
  <c r="BP119"/>
  <c r="BO119"/>
  <c r="BN119"/>
  <c r="BI119"/>
  <c r="BH119"/>
  <c r="BG119"/>
  <c r="BF119"/>
  <c r="BD119"/>
  <c r="AS119"/>
  <c r="AQ119"/>
  <c r="AO119"/>
  <c r="AM119"/>
  <c r="AK119"/>
  <c r="AI119"/>
  <c r="T119"/>
  <c r="I119"/>
  <c r="D119"/>
  <c r="C119"/>
  <c r="BP118"/>
  <c r="BO118"/>
  <c r="BN118"/>
  <c r="BM118"/>
  <c r="BL118"/>
  <c r="BK118"/>
  <c r="BI118"/>
  <c r="BH118"/>
  <c r="BG118"/>
  <c r="BF118"/>
  <c r="BD118"/>
  <c r="AS118"/>
  <c r="AQ118"/>
  <c r="AO118"/>
  <c r="AM118"/>
  <c r="AK118"/>
  <c r="AI118"/>
  <c r="AG118"/>
  <c r="AE118"/>
  <c r="AC118"/>
  <c r="AA118"/>
  <c r="Y118"/>
  <c r="W118"/>
  <c r="U118"/>
  <c r="T118"/>
  <c r="S118"/>
  <c r="AW118" s="1"/>
  <c r="BE118"/>
  <c r="I118"/>
  <c r="C118"/>
  <c r="BP117"/>
  <c r="BO117"/>
  <c r="BN117"/>
  <c r="BL117"/>
  <c r="BK117"/>
  <c r="BI117"/>
  <c r="BH117"/>
  <c r="BG117"/>
  <c r="BF117"/>
  <c r="BD117"/>
  <c r="AS117"/>
  <c r="AQ117"/>
  <c r="AO117"/>
  <c r="AM117"/>
  <c r="AK117"/>
  <c r="AI117"/>
  <c r="T117"/>
  <c r="I117"/>
  <c r="D117"/>
  <c r="C117"/>
  <c r="BP116"/>
  <c r="BO116"/>
  <c r="BN116"/>
  <c r="BM116"/>
  <c r="BL116"/>
  <c r="BK116"/>
  <c r="BI116"/>
  <c r="BH116"/>
  <c r="BG116"/>
  <c r="BF116"/>
  <c r="BD116"/>
  <c r="AS116"/>
  <c r="AQ116"/>
  <c r="AO116"/>
  <c r="AM116"/>
  <c r="AK116"/>
  <c r="AI116"/>
  <c r="AG116"/>
  <c r="AE116"/>
  <c r="AC116"/>
  <c r="AA116"/>
  <c r="Y116"/>
  <c r="W116"/>
  <c r="U116"/>
  <c r="T116"/>
  <c r="S116"/>
  <c r="AW116" s="1"/>
  <c r="BE116"/>
  <c r="I116"/>
  <c r="C116"/>
  <c r="BP115"/>
  <c r="BO115"/>
  <c r="BN115"/>
  <c r="BL115"/>
  <c r="BK115"/>
  <c r="BI115"/>
  <c r="BH115"/>
  <c r="BG115"/>
  <c r="BF115"/>
  <c r="BD115"/>
  <c r="AS115"/>
  <c r="AQ115"/>
  <c r="AO115"/>
  <c r="AM115"/>
  <c r="AK115"/>
  <c r="AI115"/>
  <c r="T115"/>
  <c r="I115"/>
  <c r="D115"/>
  <c r="C115"/>
  <c r="BP114"/>
  <c r="BO114"/>
  <c r="BN114"/>
  <c r="BM114"/>
  <c r="BL114"/>
  <c r="BK114"/>
  <c r="BI114"/>
  <c r="BH114"/>
  <c r="BG114"/>
  <c r="BF114"/>
  <c r="BD114"/>
  <c r="AS114"/>
  <c r="AQ114"/>
  <c r="AO114"/>
  <c r="AM114"/>
  <c r="AK114"/>
  <c r="AI114"/>
  <c r="AG114"/>
  <c r="AE114"/>
  <c r="AC114"/>
  <c r="AA114"/>
  <c r="Y114"/>
  <c r="W114"/>
  <c r="U114"/>
  <c r="T114"/>
  <c r="S114"/>
  <c r="AV114" s="1"/>
  <c r="I114"/>
  <c r="C114"/>
  <c r="BP113"/>
  <c r="BO113"/>
  <c r="BN113"/>
  <c r="BL113"/>
  <c r="BK113"/>
  <c r="BI113"/>
  <c r="BH113"/>
  <c r="BG113"/>
  <c r="BF113"/>
  <c r="BD113"/>
  <c r="AS113"/>
  <c r="AQ113"/>
  <c r="AO113"/>
  <c r="AM113"/>
  <c r="AK113"/>
  <c r="AI113"/>
  <c r="T113"/>
  <c r="I113"/>
  <c r="D113"/>
  <c r="C113"/>
  <c r="BP112"/>
  <c r="BO112"/>
  <c r="BN112"/>
  <c r="BM112"/>
  <c r="BL112"/>
  <c r="BK112"/>
  <c r="BI112"/>
  <c r="BH112"/>
  <c r="BG112"/>
  <c r="BF112"/>
  <c r="BD112"/>
  <c r="AS112"/>
  <c r="AQ112"/>
  <c r="AO112"/>
  <c r="AM112"/>
  <c r="AK112"/>
  <c r="AI112"/>
  <c r="AG112"/>
  <c r="AE112"/>
  <c r="AC112"/>
  <c r="AA112"/>
  <c r="Y112"/>
  <c r="W112"/>
  <c r="U112"/>
  <c r="T112"/>
  <c r="S112"/>
  <c r="AV112" s="1"/>
  <c r="I112"/>
  <c r="C112"/>
  <c r="BP111"/>
  <c r="BO111"/>
  <c r="BN111"/>
  <c r="BI111"/>
  <c r="BH111"/>
  <c r="BG111"/>
  <c r="BF111"/>
  <c r="BD111"/>
  <c r="AS111"/>
  <c r="AQ111"/>
  <c r="AO111"/>
  <c r="AM111"/>
  <c r="AK111"/>
  <c r="AI111"/>
  <c r="T111"/>
  <c r="I111"/>
  <c r="D111"/>
  <c r="C111"/>
  <c r="BP110"/>
  <c r="BO110"/>
  <c r="BN110"/>
  <c r="BM110"/>
  <c r="BL110"/>
  <c r="BK110"/>
  <c r="BI110"/>
  <c r="BH110"/>
  <c r="BG110"/>
  <c r="BF110"/>
  <c r="BD110"/>
  <c r="AS110"/>
  <c r="AQ110"/>
  <c r="AO110"/>
  <c r="AM110"/>
  <c r="AK110"/>
  <c r="AI110"/>
  <c r="AG110"/>
  <c r="AE110"/>
  <c r="AC110"/>
  <c r="AA110"/>
  <c r="Y110"/>
  <c r="W110"/>
  <c r="U110"/>
  <c r="T110"/>
  <c r="S110"/>
  <c r="AV110" s="1"/>
  <c r="BE110"/>
  <c r="I110"/>
  <c r="C110"/>
  <c r="BP109"/>
  <c r="BO109"/>
  <c r="BN109"/>
  <c r="BM109"/>
  <c r="BL109"/>
  <c r="BK109"/>
  <c r="BI109"/>
  <c r="BH109"/>
  <c r="BG109"/>
  <c r="BF109"/>
  <c r="BD109"/>
  <c r="AS109"/>
  <c r="AQ109"/>
  <c r="AO109"/>
  <c r="AM109"/>
  <c r="AK109"/>
  <c r="AI109"/>
  <c r="AG109"/>
  <c r="AE109"/>
  <c r="AC109"/>
  <c r="AA109"/>
  <c r="Y109"/>
  <c r="W109"/>
  <c r="U109"/>
  <c r="T109"/>
  <c r="P109"/>
  <c r="I109"/>
  <c r="D109"/>
  <c r="C109"/>
  <c r="BP108"/>
  <c r="BO108"/>
  <c r="BN108"/>
  <c r="BM108"/>
  <c r="BL108"/>
  <c r="BK108"/>
  <c r="BI108"/>
  <c r="BH108"/>
  <c r="BG108"/>
  <c r="BF108"/>
  <c r="BD108"/>
  <c r="AS108"/>
  <c r="AQ108"/>
  <c r="AO108"/>
  <c r="AM108"/>
  <c r="AK108"/>
  <c r="AI108"/>
  <c r="AG108"/>
  <c r="AE108"/>
  <c r="AC108"/>
  <c r="AA108"/>
  <c r="Y108"/>
  <c r="W108"/>
  <c r="U108"/>
  <c r="T108"/>
  <c r="S108"/>
  <c r="AV108" s="1"/>
  <c r="I108"/>
  <c r="C108"/>
  <c r="BP107"/>
  <c r="BO107"/>
  <c r="BN107"/>
  <c r="BL107"/>
  <c r="BK107"/>
  <c r="BI107"/>
  <c r="BF107"/>
  <c r="AG107"/>
  <c r="AE107"/>
  <c r="AC107"/>
  <c r="AA107"/>
  <c r="Y107"/>
  <c r="W107"/>
  <c r="U107"/>
  <c r="T107"/>
  <c r="I107"/>
  <c r="D107"/>
  <c r="C107"/>
  <c r="BP106"/>
  <c r="BO106"/>
  <c r="BN106"/>
  <c r="BM106"/>
  <c r="BL106"/>
  <c r="BK106"/>
  <c r="BI106"/>
  <c r="BH106"/>
  <c r="BG106"/>
  <c r="BF106"/>
  <c r="BD106"/>
  <c r="AS106"/>
  <c r="AQ106"/>
  <c r="AO106"/>
  <c r="AM106"/>
  <c r="AK106"/>
  <c r="AI106"/>
  <c r="AG106"/>
  <c r="AE106"/>
  <c r="AC106"/>
  <c r="AA106"/>
  <c r="Y106"/>
  <c r="W106"/>
  <c r="U106"/>
  <c r="T106"/>
  <c r="S106"/>
  <c r="AV106" s="1"/>
  <c r="I106"/>
  <c r="C106"/>
  <c r="BP105"/>
  <c r="BO105"/>
  <c r="BN105"/>
  <c r="BL105"/>
  <c r="BK105"/>
  <c r="BI105"/>
  <c r="BH105"/>
  <c r="BG105"/>
  <c r="BF105"/>
  <c r="BD105"/>
  <c r="AS105"/>
  <c r="AQ105"/>
  <c r="AO105"/>
  <c r="AM105"/>
  <c r="AK105"/>
  <c r="AI105"/>
  <c r="T105"/>
  <c r="I105"/>
  <c r="D105"/>
  <c r="C105"/>
  <c r="CH104"/>
  <c r="CK104" s="1"/>
  <c r="BP104"/>
  <c r="BO104"/>
  <c r="BN104"/>
  <c r="BM104"/>
  <c r="BL104"/>
  <c r="BK104"/>
  <c r="BI104"/>
  <c r="BH104"/>
  <c r="BG104"/>
  <c r="BF104"/>
  <c r="BD104"/>
  <c r="AS104"/>
  <c r="AQ104"/>
  <c r="AO104"/>
  <c r="AM104"/>
  <c r="AK104"/>
  <c r="AI104"/>
  <c r="AG104"/>
  <c r="AE104"/>
  <c r="AC104"/>
  <c r="AA104"/>
  <c r="Y104"/>
  <c r="W104"/>
  <c r="U104"/>
  <c r="T104"/>
  <c r="S104"/>
  <c r="AZ104" s="1"/>
  <c r="I104"/>
  <c r="C104"/>
  <c r="CH103"/>
  <c r="CF103" s="1"/>
  <c r="BP103"/>
  <c r="BO103"/>
  <c r="BN103"/>
  <c r="BL103"/>
  <c r="BK103"/>
  <c r="BI103"/>
  <c r="BH103"/>
  <c r="BG103"/>
  <c r="BF103"/>
  <c r="BD103"/>
  <c r="AS103"/>
  <c r="AQ103"/>
  <c r="AO103"/>
  <c r="AM103"/>
  <c r="AK103"/>
  <c r="AI103"/>
  <c r="T103"/>
  <c r="I103"/>
  <c r="D103"/>
  <c r="C103"/>
  <c r="CI102"/>
  <c r="CH102"/>
  <c r="CK102" s="1"/>
  <c r="BP102"/>
  <c r="BO102"/>
  <c r="BN102"/>
  <c r="BM102"/>
  <c r="BL102"/>
  <c r="BK102"/>
  <c r="BI102"/>
  <c r="BH102"/>
  <c r="BG102"/>
  <c r="BF102"/>
  <c r="BD102"/>
  <c r="AS102"/>
  <c r="AQ102"/>
  <c r="AO102"/>
  <c r="AM102"/>
  <c r="AK102"/>
  <c r="AI102"/>
  <c r="AG102"/>
  <c r="AE102"/>
  <c r="AC102"/>
  <c r="AA102"/>
  <c r="Y102"/>
  <c r="W102"/>
  <c r="U102"/>
  <c r="T102"/>
  <c r="S102"/>
  <c r="AZ102" s="1"/>
  <c r="I102"/>
  <c r="C102"/>
  <c r="CI101"/>
  <c r="CH101"/>
  <c r="CF101" s="1"/>
  <c r="BP101"/>
  <c r="BO101"/>
  <c r="BN101"/>
  <c r="BM101"/>
  <c r="BL101"/>
  <c r="BK101"/>
  <c r="BI101"/>
  <c r="BH101"/>
  <c r="BG101"/>
  <c r="BF101"/>
  <c r="BD101"/>
  <c r="AS101"/>
  <c r="AQ101"/>
  <c r="AO101"/>
  <c r="AM101"/>
  <c r="AK101"/>
  <c r="AI101"/>
  <c r="AG101"/>
  <c r="AE101"/>
  <c r="AC101"/>
  <c r="AA101"/>
  <c r="Y101"/>
  <c r="W101"/>
  <c r="U101"/>
  <c r="T101"/>
  <c r="S101"/>
  <c r="AY101" s="1"/>
  <c r="I101"/>
  <c r="G101"/>
  <c r="D101"/>
  <c r="C101"/>
  <c r="CI100"/>
  <c r="CH100"/>
  <c r="CK100" s="1"/>
  <c r="BP100"/>
  <c r="BO100"/>
  <c r="BN100"/>
  <c r="BM100"/>
  <c r="BL100"/>
  <c r="BK100"/>
  <c r="BI100"/>
  <c r="BH100"/>
  <c r="BG100"/>
  <c r="BF100"/>
  <c r="BD100"/>
  <c r="AS100"/>
  <c r="AQ100"/>
  <c r="AO100"/>
  <c r="AM100"/>
  <c r="AK100"/>
  <c r="AI100"/>
  <c r="AG100"/>
  <c r="AE100"/>
  <c r="AC100"/>
  <c r="AA100"/>
  <c r="Y100"/>
  <c r="W100"/>
  <c r="U100"/>
  <c r="T100"/>
  <c r="S100"/>
  <c r="AZ100" s="1"/>
  <c r="I100"/>
  <c r="D100"/>
  <c r="C100"/>
  <c r="CI99"/>
  <c r="CH99"/>
  <c r="CF99" s="1"/>
  <c r="BP99"/>
  <c r="BO99"/>
  <c r="BN99"/>
  <c r="BL99"/>
  <c r="BK99"/>
  <c r="BI99"/>
  <c r="BH99"/>
  <c r="BG99"/>
  <c r="BF99"/>
  <c r="BD99"/>
  <c r="AS99"/>
  <c r="AQ99"/>
  <c r="AO99"/>
  <c r="AM99"/>
  <c r="AK99"/>
  <c r="AI99"/>
  <c r="T99"/>
  <c r="I99"/>
  <c r="D99"/>
  <c r="C99"/>
  <c r="CI98"/>
  <c r="CH98"/>
  <c r="CK98" s="1"/>
  <c r="BP98"/>
  <c r="BO98"/>
  <c r="BN98"/>
  <c r="BM98"/>
  <c r="BL98"/>
  <c r="BK98"/>
  <c r="BI98"/>
  <c r="BH98"/>
  <c r="BG98"/>
  <c r="BF98"/>
  <c r="BD98"/>
  <c r="AS98"/>
  <c r="AQ98"/>
  <c r="AO98"/>
  <c r="AM98"/>
  <c r="AK98"/>
  <c r="AI98"/>
  <c r="AG98"/>
  <c r="AE98"/>
  <c r="AC98"/>
  <c r="AA98"/>
  <c r="Y98"/>
  <c r="W98"/>
  <c r="U98"/>
  <c r="T98"/>
  <c r="S98"/>
  <c r="AZ98" s="1"/>
  <c r="I98"/>
  <c r="C98"/>
  <c r="CI97"/>
  <c r="CH97"/>
  <c r="CF97" s="1"/>
  <c r="BP97"/>
  <c r="BO97"/>
  <c r="BN97"/>
  <c r="BM97"/>
  <c r="BL97"/>
  <c r="BK97"/>
  <c r="BI97"/>
  <c r="BH97"/>
  <c r="BG97"/>
  <c r="BF97"/>
  <c r="BD97"/>
  <c r="AS97"/>
  <c r="AQ97"/>
  <c r="AO97"/>
  <c r="AM97"/>
  <c r="AK97"/>
  <c r="AI97"/>
  <c r="AG97"/>
  <c r="AE97"/>
  <c r="AC97"/>
  <c r="AA97"/>
  <c r="Y97"/>
  <c r="W97"/>
  <c r="U97"/>
  <c r="T97"/>
  <c r="S97"/>
  <c r="AY97" s="1"/>
  <c r="P97"/>
  <c r="I97"/>
  <c r="G97"/>
  <c r="D97"/>
  <c r="C97"/>
  <c r="CI96"/>
  <c r="CH96"/>
  <c r="CK96" s="1"/>
  <c r="BP96"/>
  <c r="BO96"/>
  <c r="BN96"/>
  <c r="BM96"/>
  <c r="BL96"/>
  <c r="BK96"/>
  <c r="BI96"/>
  <c r="BH96"/>
  <c r="BG96"/>
  <c r="BF96"/>
  <c r="BD96"/>
  <c r="AS96"/>
  <c r="AQ96"/>
  <c r="AO96"/>
  <c r="AM96"/>
  <c r="AK96"/>
  <c r="AI96"/>
  <c r="AG96"/>
  <c r="AE96"/>
  <c r="AC96"/>
  <c r="AA96"/>
  <c r="Y96"/>
  <c r="W96"/>
  <c r="U96"/>
  <c r="T96"/>
  <c r="S96"/>
  <c r="AZ96" s="1"/>
  <c r="P96"/>
  <c r="I96"/>
  <c r="D96"/>
  <c r="C96"/>
  <c r="CI95"/>
  <c r="CH95"/>
  <c r="CF95" s="1"/>
  <c r="BP95"/>
  <c r="BO95"/>
  <c r="BN95"/>
  <c r="BL95"/>
  <c r="BK95"/>
  <c r="BF95"/>
  <c r="AG95"/>
  <c r="AE95"/>
  <c r="AC95"/>
  <c r="AA95"/>
  <c r="Y95"/>
  <c r="W95"/>
  <c r="U95"/>
  <c r="T95"/>
  <c r="P95"/>
  <c r="BI95" s="1"/>
  <c r="I95"/>
  <c r="D95"/>
  <c r="C95"/>
  <c r="CH94"/>
  <c r="CK94" s="1"/>
  <c r="BP94"/>
  <c r="BO94"/>
  <c r="BN94"/>
  <c r="BM94"/>
  <c r="BL94"/>
  <c r="BK94"/>
  <c r="BI94"/>
  <c r="BH94"/>
  <c r="BG94"/>
  <c r="BF94"/>
  <c r="BD94"/>
  <c r="AS94"/>
  <c r="AQ94"/>
  <c r="AO94"/>
  <c r="AM94"/>
  <c r="AK94"/>
  <c r="AI94"/>
  <c r="AG94"/>
  <c r="AE94"/>
  <c r="AC94"/>
  <c r="AA94"/>
  <c r="Y94"/>
  <c r="W94"/>
  <c r="U94"/>
  <c r="T94"/>
  <c r="S94"/>
  <c r="AZ94" s="1"/>
  <c r="P94"/>
  <c r="I94"/>
  <c r="D94"/>
  <c r="C94"/>
  <c r="CH93"/>
  <c r="CF93" s="1"/>
  <c r="BP93"/>
  <c r="BO93"/>
  <c r="BN93"/>
  <c r="BM93"/>
  <c r="BL93"/>
  <c r="BK93"/>
  <c r="BI93"/>
  <c r="BH93"/>
  <c r="BG93"/>
  <c r="BF93"/>
  <c r="BD93"/>
  <c r="AS93"/>
  <c r="AQ93"/>
  <c r="AO93"/>
  <c r="AM93"/>
  <c r="AK93"/>
  <c r="AI93"/>
  <c r="AG93"/>
  <c r="AE93"/>
  <c r="AC93"/>
  <c r="AA93"/>
  <c r="Y93"/>
  <c r="W93"/>
  <c r="U93"/>
  <c r="T93"/>
  <c r="S93"/>
  <c r="AY93" s="1"/>
  <c r="P93"/>
  <c r="I93"/>
  <c r="G93"/>
  <c r="D93"/>
  <c r="C93"/>
  <c r="CH92"/>
  <c r="CK92" s="1"/>
  <c r="BP92"/>
  <c r="BO92"/>
  <c r="BN92"/>
  <c r="BM92"/>
  <c r="BL92"/>
  <c r="BK92"/>
  <c r="BI92"/>
  <c r="BH92"/>
  <c r="BG92"/>
  <c r="BF92"/>
  <c r="BD92"/>
  <c r="AS92"/>
  <c r="AQ92"/>
  <c r="AO92"/>
  <c r="AM92"/>
  <c r="AK92"/>
  <c r="AI92"/>
  <c r="AG92"/>
  <c r="AE92"/>
  <c r="AC92"/>
  <c r="AA92"/>
  <c r="Y92"/>
  <c r="W92"/>
  <c r="U92"/>
  <c r="T92"/>
  <c r="S92"/>
  <c r="AZ92" s="1"/>
  <c r="P92"/>
  <c r="BE92" s="1"/>
  <c r="I92"/>
  <c r="D92"/>
  <c r="C92"/>
  <c r="CI91"/>
  <c r="CH91"/>
  <c r="CF91" s="1"/>
  <c r="BP91"/>
  <c r="BO91"/>
  <c r="BN91"/>
  <c r="BL91"/>
  <c r="BK91"/>
  <c r="BF91"/>
  <c r="AG91"/>
  <c r="AE91"/>
  <c r="AC91"/>
  <c r="AA91"/>
  <c r="Y91"/>
  <c r="W91"/>
  <c r="U91"/>
  <c r="T91"/>
  <c r="P91"/>
  <c r="BI91" s="1"/>
  <c r="I91"/>
  <c r="D91"/>
  <c r="C91"/>
  <c r="CI90"/>
  <c r="CH90"/>
  <c r="CK90" s="1"/>
  <c r="BP90"/>
  <c r="BO90"/>
  <c r="BN90"/>
  <c r="BM90"/>
  <c r="BL90"/>
  <c r="BK90"/>
  <c r="BI90"/>
  <c r="BH90"/>
  <c r="BG90"/>
  <c r="BF90"/>
  <c r="BD90"/>
  <c r="AS90"/>
  <c r="AQ90"/>
  <c r="AO90"/>
  <c r="AM90"/>
  <c r="AK90"/>
  <c r="AI90"/>
  <c r="AG90"/>
  <c r="AE90"/>
  <c r="AC90"/>
  <c r="AA90"/>
  <c r="Y90"/>
  <c r="W90"/>
  <c r="U90"/>
  <c r="T90"/>
  <c r="S90"/>
  <c r="AZ90" s="1"/>
  <c r="P90"/>
  <c r="BE90" s="1"/>
  <c r="I90"/>
  <c r="D90"/>
  <c r="C90"/>
  <c r="CH89"/>
  <c r="CF89" s="1"/>
  <c r="BP89"/>
  <c r="BO89"/>
  <c r="BN89"/>
  <c r="BM89"/>
  <c r="BL89"/>
  <c r="BK89"/>
  <c r="BI89"/>
  <c r="BH89"/>
  <c r="BG89"/>
  <c r="BF89"/>
  <c r="BD89"/>
  <c r="AS89"/>
  <c r="AQ89"/>
  <c r="AO89"/>
  <c r="AM89"/>
  <c r="AK89"/>
  <c r="AI89"/>
  <c r="AG89"/>
  <c r="AE89"/>
  <c r="AC89"/>
  <c r="AA89"/>
  <c r="Y89"/>
  <c r="W89"/>
  <c r="U89"/>
  <c r="T89"/>
  <c r="S89"/>
  <c r="AY89" s="1"/>
  <c r="P89"/>
  <c r="I89"/>
  <c r="G89"/>
  <c r="D89"/>
  <c r="C89"/>
  <c r="CH88"/>
  <c r="CK88" s="1"/>
  <c r="BP88"/>
  <c r="BO88"/>
  <c r="BN88"/>
  <c r="BM88"/>
  <c r="BL88"/>
  <c r="BK88"/>
  <c r="BI88"/>
  <c r="BH88"/>
  <c r="BG88"/>
  <c r="BF88"/>
  <c r="BD88"/>
  <c r="AS88"/>
  <c r="AQ88"/>
  <c r="AO88"/>
  <c r="AM88"/>
  <c r="AK88"/>
  <c r="AI88"/>
  <c r="AG88"/>
  <c r="AE88"/>
  <c r="AC88"/>
  <c r="AA88"/>
  <c r="Y88"/>
  <c r="W88"/>
  <c r="U88"/>
  <c r="T88"/>
  <c r="S88"/>
  <c r="AZ88" s="1"/>
  <c r="P88"/>
  <c r="BE88" s="1"/>
  <c r="I88"/>
  <c r="D88"/>
  <c r="C88"/>
  <c r="CI87"/>
  <c r="CH87"/>
  <c r="CF87" s="1"/>
  <c r="BP87"/>
  <c r="BO87"/>
  <c r="BN87"/>
  <c r="BL87"/>
  <c r="BK87"/>
  <c r="BF87"/>
  <c r="AG87"/>
  <c r="AE87"/>
  <c r="AC87"/>
  <c r="AA87"/>
  <c r="Y87"/>
  <c r="W87"/>
  <c r="U87"/>
  <c r="T87"/>
  <c r="P87"/>
  <c r="BI87" s="1"/>
  <c r="I87"/>
  <c r="D87"/>
  <c r="C87"/>
  <c r="CI86"/>
  <c r="CH86"/>
  <c r="CK86" s="1"/>
  <c r="BP86"/>
  <c r="BO86"/>
  <c r="BN86"/>
  <c r="BM86"/>
  <c r="BL86"/>
  <c r="BK86"/>
  <c r="BI86"/>
  <c r="BH86"/>
  <c r="BG86"/>
  <c r="BF86"/>
  <c r="BD86"/>
  <c r="AS86"/>
  <c r="AQ86"/>
  <c r="AO86"/>
  <c r="AM86"/>
  <c r="AK86"/>
  <c r="AI86"/>
  <c r="AG86"/>
  <c r="AE86"/>
  <c r="AC86"/>
  <c r="AA86"/>
  <c r="Y86"/>
  <c r="W86"/>
  <c r="U86"/>
  <c r="T86"/>
  <c r="S86"/>
  <c r="AZ86" s="1"/>
  <c r="P86"/>
  <c r="BE86" s="1"/>
  <c r="I86"/>
  <c r="C86"/>
  <c r="CI85"/>
  <c r="CH85"/>
  <c r="CF85" s="1"/>
  <c r="BP85"/>
  <c r="BO85"/>
  <c r="BN85"/>
  <c r="BI85"/>
  <c r="BH85"/>
  <c r="BG85"/>
  <c r="BF85"/>
  <c r="BD85"/>
  <c r="AS85"/>
  <c r="AQ85"/>
  <c r="AO85"/>
  <c r="AM85"/>
  <c r="AK85"/>
  <c r="AI85"/>
  <c r="T85"/>
  <c r="P85"/>
  <c r="BL85" s="1"/>
  <c r="I85"/>
  <c r="D85"/>
  <c r="C85"/>
  <c r="CH84"/>
  <c r="CK84" s="1"/>
  <c r="BP84"/>
  <c r="BO84"/>
  <c r="BN84"/>
  <c r="BM84"/>
  <c r="BL84"/>
  <c r="BK84"/>
  <c r="BI84"/>
  <c r="BH84"/>
  <c r="BG84"/>
  <c r="BF84"/>
  <c r="BD84"/>
  <c r="AS84"/>
  <c r="AQ84"/>
  <c r="AO84"/>
  <c r="AM84"/>
  <c r="AK84"/>
  <c r="AI84"/>
  <c r="AG84"/>
  <c r="AE84"/>
  <c r="AC84"/>
  <c r="AA84"/>
  <c r="Y84"/>
  <c r="W84"/>
  <c r="U84"/>
  <c r="T84"/>
  <c r="S84"/>
  <c r="AZ84" s="1"/>
  <c r="P84"/>
  <c r="BE84" s="1"/>
  <c r="I84"/>
  <c r="C84"/>
  <c r="CI83"/>
  <c r="CH83"/>
  <c r="CF83" s="1"/>
  <c r="BP83"/>
  <c r="BO83"/>
  <c r="BN83"/>
  <c r="BL83"/>
  <c r="BK83"/>
  <c r="BI83"/>
  <c r="BH83"/>
  <c r="BG83"/>
  <c r="BF83"/>
  <c r="BD83"/>
  <c r="AS83"/>
  <c r="AQ83"/>
  <c r="AO83"/>
  <c r="AM83"/>
  <c r="AK83"/>
  <c r="AI83"/>
  <c r="T83"/>
  <c r="P83"/>
  <c r="I83"/>
  <c r="D83"/>
  <c r="C83"/>
  <c r="CI82"/>
  <c r="CH82"/>
  <c r="CK82" s="1"/>
  <c r="BP82"/>
  <c r="BO82"/>
  <c r="BN82"/>
  <c r="BM82"/>
  <c r="BL82"/>
  <c r="BK82"/>
  <c r="BI82"/>
  <c r="BH82"/>
  <c r="BG82"/>
  <c r="BF82"/>
  <c r="BD82"/>
  <c r="AS82"/>
  <c r="AQ82"/>
  <c r="AO82"/>
  <c r="AM82"/>
  <c r="AK82"/>
  <c r="AI82"/>
  <c r="AG82"/>
  <c r="AE82"/>
  <c r="AC82"/>
  <c r="AA82"/>
  <c r="Y82"/>
  <c r="W82"/>
  <c r="U82"/>
  <c r="T82"/>
  <c r="S82"/>
  <c r="AZ82" s="1"/>
  <c r="P82"/>
  <c r="BE82" s="1"/>
  <c r="I82"/>
  <c r="C82"/>
  <c r="CI81"/>
  <c r="CH81"/>
  <c r="CF81" s="1"/>
  <c r="BP81"/>
  <c r="BO81"/>
  <c r="BN81"/>
  <c r="BI81"/>
  <c r="BH81"/>
  <c r="BG81"/>
  <c r="BF81"/>
  <c r="BD81"/>
  <c r="AS81"/>
  <c r="AQ81"/>
  <c r="AO81"/>
  <c r="AM81"/>
  <c r="AK81"/>
  <c r="AI81"/>
  <c r="T81"/>
  <c r="P81"/>
  <c r="BL81" s="1"/>
  <c r="I81"/>
  <c r="D81"/>
  <c r="C81"/>
  <c r="CI80"/>
  <c r="CH80"/>
  <c r="CK80" s="1"/>
  <c r="CC80"/>
  <c r="CB80"/>
  <c r="CA80"/>
  <c r="BZ80"/>
  <c r="BY80"/>
  <c r="BX80"/>
  <c r="BW80"/>
  <c r="BU80"/>
  <c r="BT80"/>
  <c r="BP80"/>
  <c r="BO80"/>
  <c r="BN80"/>
  <c r="BM80"/>
  <c r="BL80"/>
  <c r="BK80"/>
  <c r="BI80"/>
  <c r="BH80"/>
  <c r="BG80"/>
  <c r="BF80"/>
  <c r="BD80"/>
  <c r="AS80"/>
  <c r="AQ80"/>
  <c r="AO80"/>
  <c r="AM80"/>
  <c r="AK80"/>
  <c r="AI80"/>
  <c r="AG80"/>
  <c r="AE80"/>
  <c r="AC80"/>
  <c r="AA80"/>
  <c r="Y80"/>
  <c r="W80"/>
  <c r="U80"/>
  <c r="T80"/>
  <c r="S80"/>
  <c r="AX80" s="1"/>
  <c r="P80"/>
  <c r="BE80" s="1"/>
  <c r="I80"/>
  <c r="C80"/>
  <c r="CI79"/>
  <c r="CH79"/>
  <c r="CC79"/>
  <c r="CB79"/>
  <c r="CA79"/>
  <c r="BZ79"/>
  <c r="BY79"/>
  <c r="BX79"/>
  <c r="BW79"/>
  <c r="BU79"/>
  <c r="BT79"/>
  <c r="BP79"/>
  <c r="BO79"/>
  <c r="BN79"/>
  <c r="BF79"/>
  <c r="T79"/>
  <c r="P79"/>
  <c r="I79"/>
  <c r="D79"/>
  <c r="C79"/>
  <c r="CI78"/>
  <c r="CH78"/>
  <c r="CK78" s="1"/>
  <c r="CC78"/>
  <c r="CB78"/>
  <c r="CA78"/>
  <c r="BZ78"/>
  <c r="BY78"/>
  <c r="BX78"/>
  <c r="BW78"/>
  <c r="BU78"/>
  <c r="BT78"/>
  <c r="BP78"/>
  <c r="BO78"/>
  <c r="BN78"/>
  <c r="BM78"/>
  <c r="BL78"/>
  <c r="BK78"/>
  <c r="BI78"/>
  <c r="BH78"/>
  <c r="BG78"/>
  <c r="BF78"/>
  <c r="BD78"/>
  <c r="AS78"/>
  <c r="AQ78"/>
  <c r="AO78"/>
  <c r="AM78"/>
  <c r="AK78"/>
  <c r="AI78"/>
  <c r="AG78"/>
  <c r="AE78"/>
  <c r="AC78"/>
  <c r="AA78"/>
  <c r="Y78"/>
  <c r="W78"/>
  <c r="U78"/>
  <c r="T78"/>
  <c r="S78"/>
  <c r="AX78" s="1"/>
  <c r="P78"/>
  <c r="BE78" s="1"/>
  <c r="I78"/>
  <c r="C78"/>
  <c r="CI77"/>
  <c r="CH77"/>
  <c r="CK77" s="1"/>
  <c r="CC77"/>
  <c r="CB77"/>
  <c r="CA77"/>
  <c r="BZ77"/>
  <c r="BY77"/>
  <c r="BX77"/>
  <c r="BW77"/>
  <c r="BU77"/>
  <c r="BT77"/>
  <c r="BP77"/>
  <c r="BO77"/>
  <c r="BN77"/>
  <c r="BI77"/>
  <c r="BH77"/>
  <c r="BG77"/>
  <c r="BF77"/>
  <c r="BD77"/>
  <c r="AS77"/>
  <c r="AQ77"/>
  <c r="AO77"/>
  <c r="AM77"/>
  <c r="AK77"/>
  <c r="AI77"/>
  <c r="T77"/>
  <c r="P77"/>
  <c r="BL77" s="1"/>
  <c r="I77"/>
  <c r="D77"/>
  <c r="C77"/>
  <c r="CH76"/>
  <c r="CK76" s="1"/>
  <c r="CC76"/>
  <c r="CB76"/>
  <c r="CA76"/>
  <c r="BZ76"/>
  <c r="BY76"/>
  <c r="BX76"/>
  <c r="BW76"/>
  <c r="BU76"/>
  <c r="BT76"/>
  <c r="BP76"/>
  <c r="BO76"/>
  <c r="BN76"/>
  <c r="BM76"/>
  <c r="BL76"/>
  <c r="BK76"/>
  <c r="BI76"/>
  <c r="BH76"/>
  <c r="BG76"/>
  <c r="BF76"/>
  <c r="BD76"/>
  <c r="AS76"/>
  <c r="AQ76"/>
  <c r="AO76"/>
  <c r="AM76"/>
  <c r="AK76"/>
  <c r="AI76"/>
  <c r="AG76"/>
  <c r="AE76"/>
  <c r="AC76"/>
  <c r="AA76"/>
  <c r="Y76"/>
  <c r="W76"/>
  <c r="U76"/>
  <c r="T76"/>
  <c r="S76"/>
  <c r="AX76" s="1"/>
  <c r="P76"/>
  <c r="BE76" s="1"/>
  <c r="I76"/>
  <c r="C76"/>
  <c r="CI75"/>
  <c r="CH75"/>
  <c r="CC75"/>
  <c r="CB75"/>
  <c r="CA75"/>
  <c r="BZ75"/>
  <c r="BY75"/>
  <c r="BX75"/>
  <c r="BW75"/>
  <c r="BU75"/>
  <c r="BT75"/>
  <c r="BP75"/>
  <c r="BO75"/>
  <c r="BN75"/>
  <c r="BI75"/>
  <c r="BF75"/>
  <c r="T75"/>
  <c r="P75"/>
  <c r="I75"/>
  <c r="D75"/>
  <c r="C75"/>
  <c r="CC74"/>
  <c r="CB74"/>
  <c r="CA74"/>
  <c r="BZ74"/>
  <c r="BY74"/>
  <c r="BX74"/>
  <c r="BW74"/>
  <c r="BU74"/>
  <c r="BT74"/>
  <c r="BP74"/>
  <c r="BO74"/>
  <c r="BN74"/>
  <c r="BM74"/>
  <c r="BL74"/>
  <c r="BK74"/>
  <c r="BI74"/>
  <c r="BH74"/>
  <c r="BG74"/>
  <c r="BF74"/>
  <c r="BD74"/>
  <c r="AS74"/>
  <c r="AQ74"/>
  <c r="AO74"/>
  <c r="AM74"/>
  <c r="AK74"/>
  <c r="AI74"/>
  <c r="AG74"/>
  <c r="AE74"/>
  <c r="AC74"/>
  <c r="AA74"/>
  <c r="Y74"/>
  <c r="W74"/>
  <c r="U74"/>
  <c r="T74"/>
  <c r="S74"/>
  <c r="AX74" s="1"/>
  <c r="P74"/>
  <c r="BE74" s="1"/>
  <c r="I74"/>
  <c r="C74"/>
  <c r="CC73"/>
  <c r="CB73"/>
  <c r="CA73"/>
  <c r="BZ73"/>
  <c r="BY73"/>
  <c r="BX73"/>
  <c r="BW73"/>
  <c r="BU73"/>
  <c r="BT73"/>
  <c r="BP73"/>
  <c r="BO73"/>
  <c r="BN73"/>
  <c r="BM73"/>
  <c r="BL73"/>
  <c r="BK73"/>
  <c r="BI73"/>
  <c r="BH73"/>
  <c r="BG73"/>
  <c r="BF73"/>
  <c r="BD73"/>
  <c r="AS73"/>
  <c r="AQ73"/>
  <c r="AO73"/>
  <c r="AM73"/>
  <c r="AK73"/>
  <c r="AI73"/>
  <c r="AG73"/>
  <c r="AE73"/>
  <c r="AC73"/>
  <c r="AA73"/>
  <c r="Y73"/>
  <c r="W73"/>
  <c r="U73"/>
  <c r="T73"/>
  <c r="S73"/>
  <c r="AV73" s="1"/>
  <c r="P73"/>
  <c r="I73"/>
  <c r="G73"/>
  <c r="D73"/>
  <c r="C73"/>
  <c r="BP72"/>
  <c r="BO72"/>
  <c r="BN72"/>
  <c r="BM72"/>
  <c r="BL72"/>
  <c r="BK72"/>
  <c r="BI72"/>
  <c r="BH72"/>
  <c r="BG72"/>
  <c r="BF72"/>
  <c r="BD72"/>
  <c r="AS72"/>
  <c r="AQ72"/>
  <c r="AO72"/>
  <c r="AM72"/>
  <c r="AK72"/>
  <c r="AI72"/>
  <c r="AG72"/>
  <c r="AE72"/>
  <c r="AC72"/>
  <c r="AA72"/>
  <c r="Y72"/>
  <c r="W72"/>
  <c r="U72"/>
  <c r="T72"/>
  <c r="S72"/>
  <c r="AX72" s="1"/>
  <c r="P72"/>
  <c r="BE72" s="1"/>
  <c r="I72"/>
  <c r="C72"/>
  <c r="BP71"/>
  <c r="BO71"/>
  <c r="BN71"/>
  <c r="BI71"/>
  <c r="BH71"/>
  <c r="BG71"/>
  <c r="BF71"/>
  <c r="BD71"/>
  <c r="AS71"/>
  <c r="AQ71"/>
  <c r="AO71"/>
  <c r="AM71"/>
  <c r="AK71"/>
  <c r="AI71"/>
  <c r="T71"/>
  <c r="P71"/>
  <c r="I71"/>
  <c r="D71"/>
  <c r="C71"/>
  <c r="BP70"/>
  <c r="BO70"/>
  <c r="BN70"/>
  <c r="BM70"/>
  <c r="BL70"/>
  <c r="BK70"/>
  <c r="BI70"/>
  <c r="BH70"/>
  <c r="BG70"/>
  <c r="BF70"/>
  <c r="BD70"/>
  <c r="AS70"/>
  <c r="AQ70"/>
  <c r="AO70"/>
  <c r="AM70"/>
  <c r="AK70"/>
  <c r="AI70"/>
  <c r="AG70"/>
  <c r="AE70"/>
  <c r="AC70"/>
  <c r="AA70"/>
  <c r="Y70"/>
  <c r="W70"/>
  <c r="U70"/>
  <c r="T70"/>
  <c r="S70"/>
  <c r="AX70" s="1"/>
  <c r="P70"/>
  <c r="BE70" s="1"/>
  <c r="I70"/>
  <c r="C70"/>
  <c r="BP69"/>
  <c r="BO69"/>
  <c r="BN69"/>
  <c r="BM69"/>
  <c r="BL69"/>
  <c r="BK69"/>
  <c r="BI69"/>
  <c r="BH69"/>
  <c r="BG69"/>
  <c r="BF69"/>
  <c r="BD69"/>
  <c r="AS69"/>
  <c r="AQ69"/>
  <c r="AO69"/>
  <c r="AM69"/>
  <c r="AK69"/>
  <c r="AI69"/>
  <c r="AG69"/>
  <c r="AE69"/>
  <c r="AC69"/>
  <c r="AA69"/>
  <c r="Y69"/>
  <c r="W69"/>
  <c r="U69"/>
  <c r="T69"/>
  <c r="S69"/>
  <c r="AV69" s="1"/>
  <c r="P69"/>
  <c r="I69"/>
  <c r="G69"/>
  <c r="D69"/>
  <c r="C69"/>
  <c r="BP68"/>
  <c r="BO68"/>
  <c r="BN68"/>
  <c r="BM68"/>
  <c r="BL68"/>
  <c r="BK68"/>
  <c r="BI68"/>
  <c r="BH68"/>
  <c r="BG68"/>
  <c r="BF68"/>
  <c r="BD68"/>
  <c r="AS68"/>
  <c r="AQ68"/>
  <c r="AO68"/>
  <c r="AM68"/>
  <c r="AK68"/>
  <c r="AI68"/>
  <c r="AG68"/>
  <c r="AE68"/>
  <c r="AC68"/>
  <c r="AA68"/>
  <c r="Y68"/>
  <c r="W68"/>
  <c r="U68"/>
  <c r="T68"/>
  <c r="S68"/>
  <c r="AX68" s="1"/>
  <c r="P68"/>
  <c r="BE68" s="1"/>
  <c r="I68"/>
  <c r="C68"/>
  <c r="BP67"/>
  <c r="BO67"/>
  <c r="BN67"/>
  <c r="BF67"/>
  <c r="T67"/>
  <c r="P67"/>
  <c r="I67"/>
  <c r="D67"/>
  <c r="C67"/>
  <c r="BP66"/>
  <c r="BO66"/>
  <c r="BN66"/>
  <c r="BM66"/>
  <c r="BL66"/>
  <c r="BK66"/>
  <c r="BI66"/>
  <c r="BH66"/>
  <c r="BG66"/>
  <c r="BF66"/>
  <c r="BD66"/>
  <c r="AS66"/>
  <c r="AQ66"/>
  <c r="AO66"/>
  <c r="AM66"/>
  <c r="AK66"/>
  <c r="AI66"/>
  <c r="AG66"/>
  <c r="AE66"/>
  <c r="AC66"/>
  <c r="AA66"/>
  <c r="Y66"/>
  <c r="W66"/>
  <c r="U66"/>
  <c r="T66"/>
  <c r="S66"/>
  <c r="AY66" s="1"/>
  <c r="P66"/>
  <c r="BE66" s="1"/>
  <c r="I66"/>
  <c r="D66"/>
  <c r="C66"/>
  <c r="BP63"/>
  <c r="BO63"/>
  <c r="BN63"/>
  <c r="BF63"/>
  <c r="AG63"/>
  <c r="AE63"/>
  <c r="AC63"/>
  <c r="AA63"/>
  <c r="Y63"/>
  <c r="W63"/>
  <c r="U63"/>
  <c r="T63"/>
  <c r="P63"/>
  <c r="I63"/>
  <c r="D63"/>
  <c r="C63"/>
  <c r="BP62"/>
  <c r="BO62"/>
  <c r="BN62"/>
  <c r="BM62"/>
  <c r="BL62"/>
  <c r="BK62"/>
  <c r="BI62"/>
  <c r="BH62"/>
  <c r="BG62"/>
  <c r="BF62"/>
  <c r="BD62"/>
  <c r="AS62"/>
  <c r="AQ62"/>
  <c r="AO62"/>
  <c r="AM62"/>
  <c r="AK62"/>
  <c r="AI62"/>
  <c r="AG62"/>
  <c r="AE62"/>
  <c r="AC62"/>
  <c r="AA62"/>
  <c r="Y62"/>
  <c r="W62"/>
  <c r="U62"/>
  <c r="T62"/>
  <c r="S62"/>
  <c r="AX62" s="1"/>
  <c r="P62"/>
  <c r="I62"/>
  <c r="C62"/>
  <c r="BP61"/>
  <c r="BO61"/>
  <c r="BN61"/>
  <c r="BF61"/>
  <c r="T61"/>
  <c r="P61"/>
  <c r="BI61" s="1"/>
  <c r="I61"/>
  <c r="D61"/>
  <c r="C61"/>
  <c r="BP60"/>
  <c r="BO60"/>
  <c r="BN60"/>
  <c r="BM60"/>
  <c r="BL60"/>
  <c r="BK60"/>
  <c r="BI60"/>
  <c r="BH60"/>
  <c r="BG60"/>
  <c r="BF60"/>
  <c r="BD60"/>
  <c r="AS60"/>
  <c r="AQ60"/>
  <c r="AO60"/>
  <c r="AM60"/>
  <c r="AK60"/>
  <c r="AI60"/>
  <c r="AG60"/>
  <c r="AE60"/>
  <c r="AC60"/>
  <c r="AA60"/>
  <c r="Y60"/>
  <c r="W60"/>
  <c r="U60"/>
  <c r="T60"/>
  <c r="S60"/>
  <c r="P60"/>
  <c r="BE60" s="1"/>
  <c r="I60"/>
  <c r="C60"/>
  <c r="BP59"/>
  <c r="BO59"/>
  <c r="BN59"/>
  <c r="BF59"/>
  <c r="T59"/>
  <c r="P59"/>
  <c r="BI59" s="1"/>
  <c r="I59"/>
  <c r="D59"/>
  <c r="C59"/>
  <c r="BP58"/>
  <c r="BO58"/>
  <c r="BN58"/>
  <c r="BM58"/>
  <c r="BL58"/>
  <c r="BK58"/>
  <c r="BI58"/>
  <c r="BH58"/>
  <c r="BG58"/>
  <c r="BF58"/>
  <c r="BD58"/>
  <c r="AS58"/>
  <c r="AQ58"/>
  <c r="AO58"/>
  <c r="AM58"/>
  <c r="AK58"/>
  <c r="AI58"/>
  <c r="AG58"/>
  <c r="AE58"/>
  <c r="AC58"/>
  <c r="AA58"/>
  <c r="Y58"/>
  <c r="W58"/>
  <c r="U58"/>
  <c r="T58"/>
  <c r="S58"/>
  <c r="AV58" s="1"/>
  <c r="P58"/>
  <c r="BE58" s="1"/>
  <c r="I58"/>
  <c r="C58"/>
  <c r="CI57"/>
  <c r="CH57"/>
  <c r="CG57"/>
  <c r="CF57"/>
  <c r="BP57"/>
  <c r="BO57"/>
  <c r="BN57"/>
  <c r="BF57"/>
  <c r="T57"/>
  <c r="P57"/>
  <c r="BL57" s="1"/>
  <c r="I57"/>
  <c r="D57"/>
  <c r="C57"/>
  <c r="BP56"/>
  <c r="BO56"/>
  <c r="BN56"/>
  <c r="BM56"/>
  <c r="BL56"/>
  <c r="BK56"/>
  <c r="BI56"/>
  <c r="BH56"/>
  <c r="BG56"/>
  <c r="BF56"/>
  <c r="BD56"/>
  <c r="AS56"/>
  <c r="AQ56"/>
  <c r="AO56"/>
  <c r="AM56"/>
  <c r="AK56"/>
  <c r="AI56"/>
  <c r="AG56"/>
  <c r="AE56"/>
  <c r="AC56"/>
  <c r="AA56"/>
  <c r="Y56"/>
  <c r="W56"/>
  <c r="U56"/>
  <c r="T56"/>
  <c r="S56"/>
  <c r="AV56" s="1"/>
  <c r="P56"/>
  <c r="BE56" s="1"/>
  <c r="I56"/>
  <c r="C56"/>
  <c r="BP55"/>
  <c r="BO55"/>
  <c r="BN55"/>
  <c r="BF55"/>
  <c r="T55"/>
  <c r="P55"/>
  <c r="I55"/>
  <c r="D55"/>
  <c r="C55"/>
  <c r="BP54"/>
  <c r="BO54"/>
  <c r="BN54"/>
  <c r="BM54"/>
  <c r="BL54"/>
  <c r="BK54"/>
  <c r="BI54"/>
  <c r="BH54"/>
  <c r="BG54"/>
  <c r="BF54"/>
  <c r="BD54"/>
  <c r="AS54"/>
  <c r="AQ54"/>
  <c r="AO54"/>
  <c r="AM54"/>
  <c r="AK54"/>
  <c r="AI54"/>
  <c r="AG54"/>
  <c r="AE54"/>
  <c r="AC54"/>
  <c r="AA54"/>
  <c r="Y54"/>
  <c r="W54"/>
  <c r="U54"/>
  <c r="T54"/>
  <c r="S54"/>
  <c r="AW54" s="1"/>
  <c r="P54"/>
  <c r="BE54" s="1"/>
  <c r="I54"/>
  <c r="C54"/>
  <c r="BP53"/>
  <c r="BO53"/>
  <c r="BN53"/>
  <c r="BF53"/>
  <c r="T53"/>
  <c r="P53"/>
  <c r="I53"/>
  <c r="D53"/>
  <c r="C53"/>
  <c r="BP52"/>
  <c r="BO52"/>
  <c r="BN52"/>
  <c r="BM52"/>
  <c r="BL52"/>
  <c r="BK52"/>
  <c r="BI52"/>
  <c r="BH52"/>
  <c r="BG52"/>
  <c r="BF52"/>
  <c r="BD52"/>
  <c r="AS52"/>
  <c r="AQ52"/>
  <c r="AO52"/>
  <c r="AM52"/>
  <c r="AK52"/>
  <c r="AI52"/>
  <c r="AG52"/>
  <c r="AE52"/>
  <c r="AC52"/>
  <c r="AA52"/>
  <c r="Y52"/>
  <c r="W52"/>
  <c r="U52"/>
  <c r="T52"/>
  <c r="S52"/>
  <c r="AW52" s="1"/>
  <c r="P52"/>
  <c r="BE52" s="1"/>
  <c r="I52"/>
  <c r="C52"/>
  <c r="BP51"/>
  <c r="BO51"/>
  <c r="BN51"/>
  <c r="BI51"/>
  <c r="BH51"/>
  <c r="BG51"/>
  <c r="BF51"/>
  <c r="BD51"/>
  <c r="AS51"/>
  <c r="AQ51"/>
  <c r="AO51"/>
  <c r="AM51"/>
  <c r="AK51"/>
  <c r="AI51"/>
  <c r="T51"/>
  <c r="P51"/>
  <c r="D51"/>
  <c r="C51"/>
  <c r="BP50"/>
  <c r="BO50"/>
  <c r="BN50"/>
  <c r="BM50"/>
  <c r="BL50"/>
  <c r="BK50"/>
  <c r="BI50"/>
  <c r="BH50"/>
  <c r="BG50"/>
  <c r="BF50"/>
  <c r="BD50"/>
  <c r="AS50"/>
  <c r="AQ50"/>
  <c r="AO50"/>
  <c r="AM50"/>
  <c r="AK50"/>
  <c r="AI50"/>
  <c r="AG50"/>
  <c r="AE50"/>
  <c r="AC50"/>
  <c r="AA50"/>
  <c r="Y50"/>
  <c r="W50"/>
  <c r="U50"/>
  <c r="T50"/>
  <c r="S50"/>
  <c r="AZ50" s="1"/>
  <c r="P50"/>
  <c r="BE50" s="1"/>
  <c r="I50"/>
  <c r="C50"/>
  <c r="BP49"/>
  <c r="BO49"/>
  <c r="BN49"/>
  <c r="BI49"/>
  <c r="BH49"/>
  <c r="BG49"/>
  <c r="BF49"/>
  <c r="BD49"/>
  <c r="AS49"/>
  <c r="AQ49"/>
  <c r="AO49"/>
  <c r="AM49"/>
  <c r="AK49"/>
  <c r="AI49"/>
  <c r="T49"/>
  <c r="P49"/>
  <c r="D49"/>
  <c r="C49"/>
  <c r="BP48"/>
  <c r="BO48"/>
  <c r="BN48"/>
  <c r="BM48"/>
  <c r="BL48"/>
  <c r="BK48"/>
  <c r="BI48"/>
  <c r="BH48"/>
  <c r="BG48"/>
  <c r="BF48"/>
  <c r="BD48"/>
  <c r="AS48"/>
  <c r="AQ48"/>
  <c r="AO48"/>
  <c r="AM48"/>
  <c r="AK48"/>
  <c r="AI48"/>
  <c r="AG48"/>
  <c r="AE48"/>
  <c r="AC48"/>
  <c r="AA48"/>
  <c r="Y48"/>
  <c r="W48"/>
  <c r="U48"/>
  <c r="T48"/>
  <c r="S48"/>
  <c r="AW48" s="1"/>
  <c r="P48"/>
  <c r="BE48" s="1"/>
  <c r="I48"/>
  <c r="C48"/>
  <c r="BP47"/>
  <c r="BO47"/>
  <c r="BN47"/>
  <c r="BF47"/>
  <c r="T47"/>
  <c r="P47"/>
  <c r="I47"/>
  <c r="D47"/>
  <c r="C47"/>
  <c r="BP46"/>
  <c r="BO46"/>
  <c r="BN46"/>
  <c r="BM46"/>
  <c r="BL46"/>
  <c r="BK46"/>
  <c r="BI46"/>
  <c r="BH46"/>
  <c r="BG46"/>
  <c r="BF46"/>
  <c r="BD46"/>
  <c r="AS46"/>
  <c r="AQ46"/>
  <c r="AO46"/>
  <c r="AM46"/>
  <c r="AK46"/>
  <c r="AI46"/>
  <c r="AG46"/>
  <c r="AE46"/>
  <c r="AC46"/>
  <c r="AA46"/>
  <c r="Y46"/>
  <c r="W46"/>
  <c r="U46"/>
  <c r="T46"/>
  <c r="S46"/>
  <c r="AZ46" s="1"/>
  <c r="P46"/>
  <c r="BE46" s="1"/>
  <c r="I46"/>
  <c r="C46"/>
  <c r="BP45"/>
  <c r="BO45"/>
  <c r="BN45"/>
  <c r="BF45"/>
  <c r="T45"/>
  <c r="P45"/>
  <c r="I45"/>
  <c r="D45"/>
  <c r="C45"/>
  <c r="BP44"/>
  <c r="BO44"/>
  <c r="BN44"/>
  <c r="BM44"/>
  <c r="BL44"/>
  <c r="BK44"/>
  <c r="BI44"/>
  <c r="BH44"/>
  <c r="BG44"/>
  <c r="BF44"/>
  <c r="BD44"/>
  <c r="AS44"/>
  <c r="AQ44"/>
  <c r="AO44"/>
  <c r="AM44"/>
  <c r="AK44"/>
  <c r="AI44"/>
  <c r="AG44"/>
  <c r="AE44"/>
  <c r="AC44"/>
  <c r="AA44"/>
  <c r="Y44"/>
  <c r="W44"/>
  <c r="U44"/>
  <c r="T44"/>
  <c r="S44"/>
  <c r="AW44" s="1"/>
  <c r="P44"/>
  <c r="BE44" s="1"/>
  <c r="I44"/>
  <c r="C44"/>
  <c r="BP43"/>
  <c r="BO43"/>
  <c r="BN43"/>
  <c r="BI43"/>
  <c r="BH43"/>
  <c r="BG43"/>
  <c r="BF43"/>
  <c r="BD43"/>
  <c r="AS43"/>
  <c r="AQ43"/>
  <c r="AO43"/>
  <c r="AM43"/>
  <c r="AK43"/>
  <c r="AI43"/>
  <c r="T43"/>
  <c r="P43"/>
  <c r="BL43" s="1"/>
  <c r="I43"/>
  <c r="D43"/>
  <c r="C43"/>
  <c r="BP42"/>
  <c r="BO42"/>
  <c r="BN42"/>
  <c r="BM42"/>
  <c r="BL42"/>
  <c r="BK42"/>
  <c r="BI42"/>
  <c r="BH42"/>
  <c r="BG42"/>
  <c r="BF42"/>
  <c r="BD42"/>
  <c r="AS42"/>
  <c r="AQ42"/>
  <c r="AO42"/>
  <c r="AM42"/>
  <c r="AK42"/>
  <c r="AI42"/>
  <c r="AG42"/>
  <c r="AE42"/>
  <c r="AC42"/>
  <c r="AA42"/>
  <c r="Y42"/>
  <c r="W42"/>
  <c r="U42"/>
  <c r="T42"/>
  <c r="P42"/>
  <c r="BE42" s="1"/>
  <c r="I42"/>
  <c r="C42"/>
  <c r="BP41"/>
  <c r="BO41"/>
  <c r="BN41"/>
  <c r="BF41"/>
  <c r="T41"/>
  <c r="P41"/>
  <c r="BI41" s="1"/>
  <c r="I41"/>
  <c r="D41"/>
  <c r="C41"/>
  <c r="BP40"/>
  <c r="BO40"/>
  <c r="BN40"/>
  <c r="BM40"/>
  <c r="BL40"/>
  <c r="BK40"/>
  <c r="BI40"/>
  <c r="BH40"/>
  <c r="BG40"/>
  <c r="BF40"/>
  <c r="BD40"/>
  <c r="AS40"/>
  <c r="AQ40"/>
  <c r="AO40"/>
  <c r="AM40"/>
  <c r="AK40"/>
  <c r="AI40"/>
  <c r="AG40"/>
  <c r="AE40"/>
  <c r="AC40"/>
  <c r="AA40"/>
  <c r="Y40"/>
  <c r="W40"/>
  <c r="U40"/>
  <c r="T40"/>
  <c r="S40"/>
  <c r="AW40" s="1"/>
  <c r="P40"/>
  <c r="BE40" s="1"/>
  <c r="I40"/>
  <c r="C40"/>
  <c r="BP39"/>
  <c r="BO39"/>
  <c r="BN39"/>
  <c r="BI39"/>
  <c r="BH39"/>
  <c r="BG39"/>
  <c r="BF39"/>
  <c r="BD39"/>
  <c r="AS39"/>
  <c r="AQ39"/>
  <c r="AO39"/>
  <c r="AM39"/>
  <c r="AK39"/>
  <c r="AI39"/>
  <c r="T39"/>
  <c r="P39"/>
  <c r="I39"/>
  <c r="D39"/>
  <c r="C39"/>
  <c r="BP38"/>
  <c r="BO38"/>
  <c r="BN38"/>
  <c r="BM38"/>
  <c r="BL38"/>
  <c r="BK38"/>
  <c r="BI38"/>
  <c r="BH38"/>
  <c r="BG38"/>
  <c r="BF38"/>
  <c r="BD38"/>
  <c r="AS38"/>
  <c r="AQ38"/>
  <c r="AO38"/>
  <c r="AM38"/>
  <c r="AK38"/>
  <c r="AI38"/>
  <c r="AG38"/>
  <c r="AE38"/>
  <c r="AC38"/>
  <c r="AA38"/>
  <c r="Y38"/>
  <c r="W38"/>
  <c r="U38"/>
  <c r="T38"/>
  <c r="S38"/>
  <c r="AZ38" s="1"/>
  <c r="P38"/>
  <c r="BE38" s="1"/>
  <c r="I38"/>
  <c r="C38"/>
  <c r="BP37"/>
  <c r="BO37"/>
  <c r="BN37"/>
  <c r="BI37"/>
  <c r="BH37"/>
  <c r="BG37"/>
  <c r="BF37"/>
  <c r="BD37"/>
  <c r="AS37"/>
  <c r="AQ37"/>
  <c r="AO37"/>
  <c r="AM37"/>
  <c r="AK37"/>
  <c r="AI37"/>
  <c r="T37"/>
  <c r="P37"/>
  <c r="I37"/>
  <c r="D37"/>
  <c r="C37"/>
  <c r="BP36"/>
  <c r="BO36"/>
  <c r="BN36"/>
  <c r="BM36"/>
  <c r="BL36"/>
  <c r="BK36"/>
  <c r="BI36"/>
  <c r="BH36"/>
  <c r="BG36"/>
  <c r="BF36"/>
  <c r="BD36"/>
  <c r="AS36"/>
  <c r="AQ36"/>
  <c r="AO36"/>
  <c r="AM36"/>
  <c r="AK36"/>
  <c r="AI36"/>
  <c r="AG36"/>
  <c r="AE36"/>
  <c r="AC36"/>
  <c r="AA36"/>
  <c r="Y36"/>
  <c r="W36"/>
  <c r="U36"/>
  <c r="T36"/>
  <c r="S36"/>
  <c r="AW36" s="1"/>
  <c r="P36"/>
  <c r="BE36" s="1"/>
  <c r="I36"/>
  <c r="C36"/>
  <c r="BP35"/>
  <c r="BO35"/>
  <c r="BN35"/>
  <c r="BI35"/>
  <c r="BH35"/>
  <c r="BG35"/>
  <c r="BF35"/>
  <c r="BD35"/>
  <c r="AS35"/>
  <c r="AQ35"/>
  <c r="AO35"/>
  <c r="AM35"/>
  <c r="AK35"/>
  <c r="AI35"/>
  <c r="T35"/>
  <c r="P35"/>
  <c r="I35"/>
  <c r="D35"/>
  <c r="C35"/>
  <c r="BP34"/>
  <c r="BO34"/>
  <c r="BN34"/>
  <c r="BM34"/>
  <c r="BL34"/>
  <c r="BK34"/>
  <c r="BI34"/>
  <c r="BH34"/>
  <c r="BG34"/>
  <c r="BF34"/>
  <c r="BD34"/>
  <c r="AS34"/>
  <c r="AQ34"/>
  <c r="AO34"/>
  <c r="AM34"/>
  <c r="AK34"/>
  <c r="AI34"/>
  <c r="AG34"/>
  <c r="AE34"/>
  <c r="AC34"/>
  <c r="AA34"/>
  <c r="Y34"/>
  <c r="W34"/>
  <c r="U34"/>
  <c r="T34"/>
  <c r="S34"/>
  <c r="AV34" s="1"/>
  <c r="P34"/>
  <c r="BE34" s="1"/>
  <c r="I34"/>
  <c r="C34"/>
  <c r="BP33"/>
  <c r="BO33"/>
  <c r="BN33"/>
  <c r="BI33"/>
  <c r="BH33"/>
  <c r="BG33"/>
  <c r="BF33"/>
  <c r="BD33"/>
  <c r="AS33"/>
  <c r="AQ33"/>
  <c r="AO33"/>
  <c r="AM33"/>
  <c r="AK33"/>
  <c r="AI33"/>
  <c r="T33"/>
  <c r="P33"/>
  <c r="BL33" s="1"/>
  <c r="I33"/>
  <c r="D33"/>
  <c r="C33"/>
  <c r="BP32"/>
  <c r="BO32"/>
  <c r="BN32"/>
  <c r="BM32"/>
  <c r="BL32"/>
  <c r="BK32"/>
  <c r="BI32"/>
  <c r="BH32"/>
  <c r="BG32"/>
  <c r="BF32"/>
  <c r="BD32"/>
  <c r="AS32"/>
  <c r="AQ32"/>
  <c r="AO32"/>
  <c r="AM32"/>
  <c r="AK32"/>
  <c r="AI32"/>
  <c r="AG32"/>
  <c r="AE32"/>
  <c r="AC32"/>
  <c r="AA32"/>
  <c r="Y32"/>
  <c r="W32"/>
  <c r="U32"/>
  <c r="T32"/>
  <c r="S32"/>
  <c r="AW32" s="1"/>
  <c r="P32"/>
  <c r="BE32" s="1"/>
  <c r="I32"/>
  <c r="C32"/>
  <c r="BP31"/>
  <c r="BO31"/>
  <c r="BN31"/>
  <c r="BI31"/>
  <c r="BH31"/>
  <c r="BG31"/>
  <c r="BF31"/>
  <c r="BD31"/>
  <c r="AS31"/>
  <c r="AQ31"/>
  <c r="AO31"/>
  <c r="AM31"/>
  <c r="AK31"/>
  <c r="AI31"/>
  <c r="T31"/>
  <c r="P31"/>
  <c r="I31"/>
  <c r="D31"/>
  <c r="C31"/>
  <c r="BP30"/>
  <c r="BO30"/>
  <c r="BN30"/>
  <c r="BM30"/>
  <c r="BL30"/>
  <c r="BK30"/>
  <c r="BI30"/>
  <c r="BH30"/>
  <c r="BG30"/>
  <c r="BF30"/>
  <c r="BD30"/>
  <c r="AS30"/>
  <c r="AQ30"/>
  <c r="AO30"/>
  <c r="AM30"/>
  <c r="AK30"/>
  <c r="AI30"/>
  <c r="AG30"/>
  <c r="AE30"/>
  <c r="AC30"/>
  <c r="AA30"/>
  <c r="Y30"/>
  <c r="W30"/>
  <c r="U30"/>
  <c r="T30"/>
  <c r="S30"/>
  <c r="AV30" s="1"/>
  <c r="P30"/>
  <c r="BE30" s="1"/>
  <c r="I30"/>
  <c r="C30"/>
  <c r="BP29"/>
  <c r="BO29"/>
  <c r="BN29"/>
  <c r="BI29"/>
  <c r="BH29"/>
  <c r="BG29"/>
  <c r="BF29"/>
  <c r="BD29"/>
  <c r="AS29"/>
  <c r="AQ29"/>
  <c r="AO29"/>
  <c r="AM29"/>
  <c r="AK29"/>
  <c r="AI29"/>
  <c r="T29"/>
  <c r="P29"/>
  <c r="I29"/>
  <c r="D29"/>
  <c r="C29"/>
  <c r="BP28"/>
  <c r="BO28"/>
  <c r="BN28"/>
  <c r="BM28"/>
  <c r="BL28"/>
  <c r="BK28"/>
  <c r="BI28"/>
  <c r="BH28"/>
  <c r="BG28"/>
  <c r="BF28"/>
  <c r="BD28"/>
  <c r="AS28"/>
  <c r="AQ28"/>
  <c r="AO28"/>
  <c r="AM28"/>
  <c r="AK28"/>
  <c r="AI28"/>
  <c r="AG28"/>
  <c r="AE28"/>
  <c r="AC28"/>
  <c r="AA28"/>
  <c r="Y28"/>
  <c r="W28"/>
  <c r="U28"/>
  <c r="T28"/>
  <c r="S28"/>
  <c r="AV28" s="1"/>
  <c r="P28"/>
  <c r="I28"/>
  <c r="C28"/>
  <c r="AZ25"/>
  <c r="AY25"/>
  <c r="AX25"/>
  <c r="AW25"/>
  <c r="AV25"/>
  <c r="AU25"/>
  <c r="Q19"/>
  <c r="P19"/>
  <c r="O19"/>
  <c r="N19"/>
  <c r="M19"/>
  <c r="BE28" l="1"/>
  <c r="P305"/>
  <c r="T305"/>
  <c r="BP305"/>
  <c r="BN305"/>
  <c r="BF305"/>
  <c r="BO305"/>
  <c r="CF82"/>
  <c r="CF96"/>
  <c r="BL53"/>
  <c r="BL39"/>
  <c r="BL29"/>
  <c r="BL31"/>
  <c r="BV76"/>
  <c r="BL37"/>
  <c r="CF76"/>
  <c r="BL55"/>
  <c r="CF78"/>
  <c r="CF84"/>
  <c r="BV74"/>
  <c r="BV78"/>
  <c r="CI89"/>
  <c r="CI88"/>
  <c r="CI92"/>
  <c r="BL41"/>
  <c r="BL63"/>
  <c r="CK95"/>
  <c r="CF98"/>
  <c r="CF88"/>
  <c r="CK91"/>
  <c r="CF94"/>
  <c r="BL45"/>
  <c r="BV79"/>
  <c r="BV80"/>
  <c r="CI103"/>
  <c r="CF86"/>
  <c r="AW208"/>
  <c r="AW171"/>
  <c r="AW222"/>
  <c r="AW181"/>
  <c r="AW193"/>
  <c r="AW276"/>
  <c r="AW202"/>
  <c r="AU280"/>
  <c r="BL71"/>
  <c r="BI63"/>
  <c r="BK63"/>
  <c r="CF90"/>
  <c r="CF100"/>
  <c r="CF102"/>
  <c r="AZ270"/>
  <c r="BL67"/>
  <c r="BK71"/>
  <c r="CK85"/>
  <c r="CK89"/>
  <c r="CK103"/>
  <c r="BV73"/>
  <c r="CK93"/>
  <c r="CK99"/>
  <c r="BK47"/>
  <c r="BK49"/>
  <c r="BV75"/>
  <c r="BV77"/>
  <c r="BL79"/>
  <c r="CF80"/>
  <c r="CK81"/>
  <c r="CK83"/>
  <c r="CK97"/>
  <c r="CK101"/>
  <c r="BL75"/>
  <c r="BK35"/>
  <c r="BL51"/>
  <c r="BL59"/>
  <c r="CK87"/>
  <c r="CF92"/>
  <c r="CF104"/>
  <c r="AY238"/>
  <c r="AW239"/>
  <c r="AW272"/>
  <c r="AW290"/>
  <c r="BK59"/>
  <c r="BI55"/>
  <c r="BK55"/>
  <c r="BK51"/>
  <c r="BL49"/>
  <c r="BK37"/>
  <c r="BL35"/>
  <c r="BI47"/>
  <c r="BL47"/>
  <c r="BK41"/>
  <c r="BK43"/>
  <c r="AY160"/>
  <c r="AW167"/>
  <c r="AW256"/>
  <c r="AX274"/>
  <c r="AU282"/>
  <c r="AW282"/>
  <c r="AZ274"/>
  <c r="AY282"/>
  <c r="AU173"/>
  <c r="AW173"/>
  <c r="AW216"/>
  <c r="AZ282"/>
  <c r="AU179"/>
  <c r="AW179"/>
  <c r="AX296"/>
  <c r="AZ296"/>
  <c r="AW304"/>
  <c r="AY246"/>
  <c r="AW247"/>
  <c r="AY278"/>
  <c r="AW286"/>
  <c r="AW294"/>
  <c r="AZ302"/>
  <c r="BK31"/>
  <c r="BI79"/>
  <c r="BI45"/>
  <c r="BK61"/>
  <c r="BK79"/>
  <c r="BK39"/>
  <c r="BK45"/>
  <c r="BL61"/>
  <c r="BK33"/>
  <c r="AW80"/>
  <c r="AW102"/>
  <c r="R21"/>
  <c r="O21"/>
  <c r="J176" i="65" s="1"/>
  <c r="M21" i="116"/>
  <c r="BK119"/>
  <c r="BK125"/>
  <c r="BI127"/>
  <c r="BK111"/>
  <c r="BK127"/>
  <c r="BL111"/>
  <c r="N21"/>
  <c r="J175" i="65" s="1"/>
  <c r="AU82" i="116"/>
  <c r="AW82"/>
  <c r="AW183"/>
  <c r="AU196"/>
  <c r="AV268"/>
  <c r="AV270"/>
  <c r="AY274"/>
  <c r="AZ278"/>
  <c r="AW300"/>
  <c r="AU86"/>
  <c r="AW86"/>
  <c r="AX158"/>
  <c r="AW206"/>
  <c r="AX268"/>
  <c r="AX270"/>
  <c r="AX300"/>
  <c r="AW169"/>
  <c r="AW214"/>
  <c r="AW232"/>
  <c r="AW240"/>
  <c r="AW248"/>
  <c r="AY258"/>
  <c r="AW259"/>
  <c r="AX266"/>
  <c r="AZ268"/>
  <c r="AY270"/>
  <c r="AU288"/>
  <c r="AW288"/>
  <c r="AU292"/>
  <c r="AW292"/>
  <c r="AY296"/>
  <c r="AW298"/>
  <c r="AY300"/>
  <c r="AX304"/>
  <c r="AY232"/>
  <c r="AY240"/>
  <c r="AY248"/>
  <c r="AY288"/>
  <c r="AY292"/>
  <c r="AZ300"/>
  <c r="AX48"/>
  <c r="AU92"/>
  <c r="AW165"/>
  <c r="AU177"/>
  <c r="AW177"/>
  <c r="AW200"/>
  <c r="AY254"/>
  <c r="AW255"/>
  <c r="AY256"/>
  <c r="AX282"/>
  <c r="AX286"/>
  <c r="AZ288"/>
  <c r="AX290"/>
  <c r="AZ292"/>
  <c r="AX54"/>
  <c r="AU90"/>
  <c r="AV163"/>
  <c r="AU228"/>
  <c r="AW228"/>
  <c r="AU278"/>
  <c r="AW278"/>
  <c r="AZ284"/>
  <c r="AU175"/>
  <c r="AW175"/>
  <c r="AU198"/>
  <c r="AW226"/>
  <c r="AX229"/>
  <c r="AY252"/>
  <c r="AX263"/>
  <c r="AX278"/>
  <c r="AU102"/>
  <c r="AX233"/>
  <c r="AX241"/>
  <c r="AX249"/>
  <c r="AX250"/>
  <c r="AY260"/>
  <c r="AY262"/>
  <c r="AY264"/>
  <c r="AV280"/>
  <c r="AU284"/>
  <c r="AU302"/>
  <c r="AY185"/>
  <c r="AY187"/>
  <c r="AY191"/>
  <c r="AX234"/>
  <c r="AX242"/>
  <c r="AY157"/>
  <c r="AY158"/>
  <c r="AU159"/>
  <c r="AW159"/>
  <c r="BA169"/>
  <c r="BB169" s="1"/>
  <c r="AY181"/>
  <c r="AY183"/>
  <c r="AY193"/>
  <c r="AW195"/>
  <c r="AW196"/>
  <c r="AW198"/>
  <c r="BA214"/>
  <c r="BB214" s="1"/>
  <c r="BA224"/>
  <c r="BB224" s="1"/>
  <c r="AY234"/>
  <c r="AW235"/>
  <c r="AW236"/>
  <c r="AY242"/>
  <c r="AW243"/>
  <c r="AW244"/>
  <c r="AY250"/>
  <c r="AW251"/>
  <c r="AW252"/>
  <c r="AY266"/>
  <c r="AX272"/>
  <c r="AX276"/>
  <c r="AW280"/>
  <c r="AV284"/>
  <c r="AY286"/>
  <c r="AY290"/>
  <c r="AX294"/>
  <c r="AX298"/>
  <c r="AV302"/>
  <c r="AY304"/>
  <c r="AX159"/>
  <c r="AY177"/>
  <c r="AY179"/>
  <c r="AY195"/>
  <c r="AX196"/>
  <c r="AX198"/>
  <c r="AX200"/>
  <c r="AX202"/>
  <c r="AW204"/>
  <c r="AX235"/>
  <c r="AX236"/>
  <c r="AX243"/>
  <c r="AX244"/>
  <c r="AX251"/>
  <c r="AX252"/>
  <c r="AZ266"/>
  <c r="AW268"/>
  <c r="AY272"/>
  <c r="AU274"/>
  <c r="AY276"/>
  <c r="BE278"/>
  <c r="AX280"/>
  <c r="BE282"/>
  <c r="AW284"/>
  <c r="AZ286"/>
  <c r="AV288"/>
  <c r="AZ290"/>
  <c r="AV292"/>
  <c r="AY294"/>
  <c r="AU296"/>
  <c r="AY298"/>
  <c r="AW302"/>
  <c r="AZ304"/>
  <c r="AY159"/>
  <c r="AY173"/>
  <c r="AY175"/>
  <c r="AX204"/>
  <c r="AX228"/>
  <c r="AY236"/>
  <c r="AW237"/>
  <c r="AW238"/>
  <c r="AY244"/>
  <c r="AW245"/>
  <c r="AW246"/>
  <c r="AW253"/>
  <c r="AW254"/>
  <c r="AZ272"/>
  <c r="AV274"/>
  <c r="AZ276"/>
  <c r="AY280"/>
  <c r="AX284"/>
  <c r="AZ294"/>
  <c r="AV296"/>
  <c r="AZ298"/>
  <c r="AU300"/>
  <c r="AX302"/>
  <c r="AZ159"/>
  <c r="AZ160"/>
  <c r="AY161"/>
  <c r="AY165"/>
  <c r="AY167"/>
  <c r="AY169"/>
  <c r="AY171"/>
  <c r="AX206"/>
  <c r="AX208"/>
  <c r="AW210"/>
  <c r="AW212"/>
  <c r="AW224"/>
  <c r="AY228"/>
  <c r="AW230"/>
  <c r="AX237"/>
  <c r="AX238"/>
  <c r="AX245"/>
  <c r="AX246"/>
  <c r="AX253"/>
  <c r="AX254"/>
  <c r="AZ280"/>
  <c r="AX212"/>
  <c r="AU286"/>
  <c r="AU290"/>
  <c r="AU304"/>
  <c r="AX210"/>
  <c r="AX230"/>
  <c r="AW155"/>
  <c r="AX156"/>
  <c r="AW189"/>
  <c r="AX214"/>
  <c r="AX216"/>
  <c r="AW218"/>
  <c r="AW220"/>
  <c r="AY230"/>
  <c r="AX231"/>
  <c r="AX232"/>
  <c r="AX239"/>
  <c r="AX240"/>
  <c r="AX247"/>
  <c r="AX248"/>
  <c r="AX255"/>
  <c r="AX256"/>
  <c r="AW258"/>
  <c r="AV266"/>
  <c r="AU272"/>
  <c r="AU276"/>
  <c r="AU294"/>
  <c r="AU298"/>
  <c r="AX157"/>
  <c r="AX136"/>
  <c r="AX155"/>
  <c r="AY156"/>
  <c r="AU157"/>
  <c r="AW157"/>
  <c r="AW185"/>
  <c r="AW187"/>
  <c r="AY189"/>
  <c r="AW191"/>
  <c r="AX218"/>
  <c r="AW233"/>
  <c r="AW234"/>
  <c r="AW241"/>
  <c r="AW242"/>
  <c r="AW249"/>
  <c r="AW250"/>
  <c r="AW257"/>
  <c r="AX258"/>
  <c r="AX260"/>
  <c r="AX262"/>
  <c r="AX264"/>
  <c r="BA274"/>
  <c r="BB274" s="1"/>
  <c r="BA289"/>
  <c r="BB289" s="1"/>
  <c r="BA293"/>
  <c r="BB293" s="1"/>
  <c r="BA296"/>
  <c r="BB296" s="1"/>
  <c r="BA157"/>
  <c r="BB157" s="1"/>
  <c r="BA167"/>
  <c r="BB167" s="1"/>
  <c r="BA158"/>
  <c r="BA210"/>
  <c r="BB210" s="1"/>
  <c r="BA264"/>
  <c r="BB264" s="1"/>
  <c r="BA155"/>
  <c r="BA159"/>
  <c r="BA178"/>
  <c r="BA202"/>
  <c r="BB202" s="1"/>
  <c r="BA265"/>
  <c r="BB265" s="1"/>
  <c r="BA206"/>
  <c r="BB206" s="1"/>
  <c r="BA235"/>
  <c r="BB235" s="1"/>
  <c r="BA268"/>
  <c r="BB268" s="1"/>
  <c r="BA197"/>
  <c r="BA204"/>
  <c r="BA222"/>
  <c r="BA208"/>
  <c r="BB208" s="1"/>
  <c r="BA220"/>
  <c r="BB220" s="1"/>
  <c r="BA201"/>
  <c r="BA212"/>
  <c r="BB212" s="1"/>
  <c r="BA216"/>
  <c r="BB216" s="1"/>
  <c r="BA186"/>
  <c r="BB186" s="1"/>
  <c r="BA189"/>
  <c r="BA192"/>
  <c r="BA239"/>
  <c r="BB239" s="1"/>
  <c r="BA261"/>
  <c r="BB261" s="1"/>
  <c r="BA270"/>
  <c r="BA272"/>
  <c r="BB272" s="1"/>
  <c r="BA278"/>
  <c r="BB278" s="1"/>
  <c r="BA282"/>
  <c r="BA297"/>
  <c r="BA300"/>
  <c r="BA184"/>
  <c r="BB184" s="1"/>
  <c r="BA185"/>
  <c r="BB185" s="1"/>
  <c r="BA187"/>
  <c r="BA191"/>
  <c r="BA213"/>
  <c r="BB213" s="1"/>
  <c r="BA228"/>
  <c r="BA257"/>
  <c r="BB257" s="1"/>
  <c r="BA273"/>
  <c r="BA277"/>
  <c r="BB277" s="1"/>
  <c r="BA283"/>
  <c r="BB283" s="1"/>
  <c r="BA301"/>
  <c r="BA181"/>
  <c r="BA160"/>
  <c r="BB160" s="1"/>
  <c r="BA176"/>
  <c r="BA177"/>
  <c r="BB177" s="1"/>
  <c r="BA179"/>
  <c r="BA195"/>
  <c r="BB195" s="1"/>
  <c r="BA198"/>
  <c r="BB198" s="1"/>
  <c r="BA200"/>
  <c r="BA276"/>
  <c r="BA287"/>
  <c r="BA291"/>
  <c r="BB291" s="1"/>
  <c r="BA294"/>
  <c r="BB294" s="1"/>
  <c r="BA298"/>
  <c r="BA156"/>
  <c r="BB156" s="1"/>
  <c r="BA173"/>
  <c r="BB173" s="1"/>
  <c r="BA175"/>
  <c r="BA205"/>
  <c r="BB205" s="1"/>
  <c r="BA218"/>
  <c r="BA226"/>
  <c r="BA232"/>
  <c r="BB232" s="1"/>
  <c r="BA271"/>
  <c r="BA280"/>
  <c r="BB280" s="1"/>
  <c r="BA295"/>
  <c r="BB295" s="1"/>
  <c r="BA299"/>
  <c r="BA165"/>
  <c r="BA193"/>
  <c r="BA266"/>
  <c r="BB266" s="1"/>
  <c r="BA269"/>
  <c r="BA162"/>
  <c r="BA171"/>
  <c r="BB171" s="1"/>
  <c r="BA219"/>
  <c r="BB219" s="1"/>
  <c r="BA233"/>
  <c r="BA234"/>
  <c r="BB234" s="1"/>
  <c r="BA258"/>
  <c r="BA275"/>
  <c r="BA281"/>
  <c r="BB281" s="1"/>
  <c r="BA284"/>
  <c r="BA302"/>
  <c r="BB302" s="1"/>
  <c r="BA183"/>
  <c r="BB183" s="1"/>
  <c r="BA203"/>
  <c r="BA286"/>
  <c r="BA290"/>
  <c r="BB290" s="1"/>
  <c r="BA304"/>
  <c r="BB304" s="1"/>
  <c r="BA209"/>
  <c r="BB209" s="1"/>
  <c r="BA237"/>
  <c r="BB237" s="1"/>
  <c r="BA260"/>
  <c r="BB260" s="1"/>
  <c r="BA267"/>
  <c r="BB267" s="1"/>
  <c r="BA285"/>
  <c r="BA288"/>
  <c r="BA292"/>
  <c r="BB292" s="1"/>
  <c r="BA303"/>
  <c r="BB303" s="1"/>
  <c r="BK85"/>
  <c r="BK81"/>
  <c r="BK77"/>
  <c r="BK75"/>
  <c r="BI67"/>
  <c r="BK67"/>
  <c r="BI57"/>
  <c r="BK57"/>
  <c r="BI53"/>
  <c r="BK53"/>
  <c r="BK29"/>
  <c r="AX154"/>
  <c r="AY154"/>
  <c r="BA154"/>
  <c r="AX148"/>
  <c r="AX150"/>
  <c r="AX144"/>
  <c r="AX124"/>
  <c r="AX128"/>
  <c r="AY114"/>
  <c r="P21"/>
  <c r="AU104"/>
  <c r="Q21"/>
  <c r="AZ48"/>
  <c r="AW90"/>
  <c r="AU94"/>
  <c r="AW94"/>
  <c r="AU106"/>
  <c r="AW106"/>
  <c r="AX134"/>
  <c r="AY106"/>
  <c r="AY110"/>
  <c r="AX140"/>
  <c r="AZ36"/>
  <c r="AZ106"/>
  <c r="AX126"/>
  <c r="AX130"/>
  <c r="AX146"/>
  <c r="AW147"/>
  <c r="AZ44"/>
  <c r="AZ68"/>
  <c r="AZ74"/>
  <c r="AZ76"/>
  <c r="AU88"/>
  <c r="AW88"/>
  <c r="AW92"/>
  <c r="BA153"/>
  <c r="BB153" s="1"/>
  <c r="AZ40"/>
  <c r="AX52"/>
  <c r="AZ97"/>
  <c r="AY100"/>
  <c r="AX122"/>
  <c r="AX142"/>
  <c r="AW66"/>
  <c r="AY108"/>
  <c r="AX132"/>
  <c r="AW153"/>
  <c r="AX32"/>
  <c r="AX40"/>
  <c r="AY78"/>
  <c r="AU84"/>
  <c r="AW84"/>
  <c r="AY98"/>
  <c r="AZ108"/>
  <c r="AU112"/>
  <c r="AW112"/>
  <c r="AZ114"/>
  <c r="AX138"/>
  <c r="AX153"/>
  <c r="AY32"/>
  <c r="AX28"/>
  <c r="AZ28"/>
  <c r="AZ30"/>
  <c r="AX36"/>
  <c r="AX44"/>
  <c r="AZ62"/>
  <c r="AY68"/>
  <c r="AY74"/>
  <c r="AZ89"/>
  <c r="AZ93"/>
  <c r="AU98"/>
  <c r="AW98"/>
  <c r="AU100"/>
  <c r="AW100"/>
  <c r="AX108"/>
  <c r="AU110"/>
  <c r="AW110"/>
  <c r="AY116"/>
  <c r="AX118"/>
  <c r="BA129"/>
  <c r="BA141"/>
  <c r="BA143"/>
  <c r="BA147"/>
  <c r="AY36"/>
  <c r="AY44"/>
  <c r="AY70"/>
  <c r="BA82"/>
  <c r="BB82" s="1"/>
  <c r="BC82" s="1"/>
  <c r="AU96"/>
  <c r="AW96"/>
  <c r="AX98"/>
  <c r="AX100"/>
  <c r="BA102"/>
  <c r="BB102" s="1"/>
  <c r="BC102" s="1"/>
  <c r="AX110"/>
  <c r="AY118"/>
  <c r="AX120"/>
  <c r="AY52"/>
  <c r="BA74"/>
  <c r="BB74" s="1"/>
  <c r="BC74" s="1"/>
  <c r="AY80"/>
  <c r="AX86"/>
  <c r="AX88"/>
  <c r="AX90"/>
  <c r="AX92"/>
  <c r="AX94"/>
  <c r="AY96"/>
  <c r="BA98"/>
  <c r="BB98" s="1"/>
  <c r="BC98" s="1"/>
  <c r="BA100"/>
  <c r="BB100" s="1"/>
  <c r="BC100" s="1"/>
  <c r="AZ110"/>
  <c r="AY122"/>
  <c r="BA149"/>
  <c r="J16"/>
  <c r="AZ32"/>
  <c r="AZ52"/>
  <c r="AY54"/>
  <c r="AZ80"/>
  <c r="AX82"/>
  <c r="AX84"/>
  <c r="AY86"/>
  <c r="AY88"/>
  <c r="AY90"/>
  <c r="AY92"/>
  <c r="AY94"/>
  <c r="AW104"/>
  <c r="AX112"/>
  <c r="AY124"/>
  <c r="AX96"/>
  <c r="AY120"/>
  <c r="AW28"/>
  <c r="AW30"/>
  <c r="AY40"/>
  <c r="AY48"/>
  <c r="AZ54"/>
  <c r="AW76"/>
  <c r="AY82"/>
  <c r="AY84"/>
  <c r="BA86"/>
  <c r="BB86" s="1"/>
  <c r="BC86" s="1"/>
  <c r="BA92"/>
  <c r="BB92" s="1"/>
  <c r="BC92" s="1"/>
  <c r="BA94"/>
  <c r="BB94" s="1"/>
  <c r="BC94" s="1"/>
  <c r="AZ101"/>
  <c r="AY104"/>
  <c r="AY112"/>
  <c r="AY126"/>
  <c r="AY128"/>
  <c r="AY130"/>
  <c r="AY132"/>
  <c r="AY134"/>
  <c r="AY136"/>
  <c r="AY138"/>
  <c r="AY140"/>
  <c r="AY142"/>
  <c r="AY144"/>
  <c r="AY146"/>
  <c r="AY148"/>
  <c r="AX152"/>
  <c r="AX30"/>
  <c r="AU62"/>
  <c r="AW62"/>
  <c r="AY72"/>
  <c r="AY76"/>
  <c r="BA84"/>
  <c r="BB84" s="1"/>
  <c r="BC84" s="1"/>
  <c r="AZ112"/>
  <c r="AU114"/>
  <c r="AW114"/>
  <c r="AX147"/>
  <c r="AY150"/>
  <c r="AY152"/>
  <c r="AY62"/>
  <c r="AW68"/>
  <c r="AW74"/>
  <c r="AY102"/>
  <c r="BA104"/>
  <c r="BB104" s="1"/>
  <c r="BC104" s="1"/>
  <c r="AX106"/>
  <c r="AU108"/>
  <c r="AW108"/>
  <c r="AX114"/>
  <c r="AX116"/>
  <c r="BA132"/>
  <c r="BA144"/>
  <c r="BA145"/>
  <c r="BA76"/>
  <c r="BB76" s="1"/>
  <c r="BC76" s="1"/>
  <c r="BA93"/>
  <c r="BB93" s="1"/>
  <c r="BE114"/>
  <c r="BA130"/>
  <c r="BA137"/>
  <c r="BB137" s="1"/>
  <c r="BA142"/>
  <c r="BA152"/>
  <c r="BA32"/>
  <c r="BB32" s="1"/>
  <c r="BC32" s="1"/>
  <c r="BA46"/>
  <c r="BB46" s="1"/>
  <c r="BC46" s="1"/>
  <c r="BA48"/>
  <c r="BB48" s="1"/>
  <c r="BC48" s="1"/>
  <c r="BA54"/>
  <c r="BB54" s="1"/>
  <c r="BC54" s="1"/>
  <c r="BA73"/>
  <c r="BB73" s="1"/>
  <c r="BC73" s="1"/>
  <c r="BA78"/>
  <c r="BB78" s="1"/>
  <c r="BC78" s="1"/>
  <c r="BA109"/>
  <c r="BB109" s="1"/>
  <c r="BC109" s="1"/>
  <c r="BA114"/>
  <c r="BB114" s="1"/>
  <c r="BC114" s="1"/>
  <c r="BA118"/>
  <c r="BB118" s="1"/>
  <c r="BA139"/>
  <c r="BA30"/>
  <c r="BB30" s="1"/>
  <c r="BC30" s="1"/>
  <c r="BA42"/>
  <c r="BB42" s="1"/>
  <c r="BC42" s="1"/>
  <c r="BA44"/>
  <c r="BB44" s="1"/>
  <c r="BC44" s="1"/>
  <c r="AU60"/>
  <c r="BA70"/>
  <c r="BB70" s="1"/>
  <c r="BA101"/>
  <c r="BB101" s="1"/>
  <c r="BC101" s="1"/>
  <c r="BA110"/>
  <c r="BB110" s="1"/>
  <c r="BC110" s="1"/>
  <c r="BA122"/>
  <c r="BA134"/>
  <c r="BA151"/>
  <c r="BA56"/>
  <c r="BB56" s="1"/>
  <c r="BC56" s="1"/>
  <c r="BA58"/>
  <c r="BB58" s="1"/>
  <c r="BA88"/>
  <c r="BB88" s="1"/>
  <c r="BC88" s="1"/>
  <c r="BA90"/>
  <c r="BB90" s="1"/>
  <c r="BC90" s="1"/>
  <c r="BE94"/>
  <c r="BE96"/>
  <c r="BE106"/>
  <c r="BA136"/>
  <c r="BA146"/>
  <c r="BA38"/>
  <c r="BB38" s="1"/>
  <c r="BC38" s="1"/>
  <c r="BA40"/>
  <c r="BB40" s="1"/>
  <c r="BC40" s="1"/>
  <c r="BA138"/>
  <c r="BA60"/>
  <c r="BB60" s="1"/>
  <c r="BA96"/>
  <c r="BB96" s="1"/>
  <c r="BC96" s="1"/>
  <c r="BE100"/>
  <c r="BE102"/>
  <c r="BE104"/>
  <c r="BA128"/>
  <c r="BA140"/>
  <c r="BA148"/>
  <c r="BA34"/>
  <c r="BB34" s="1"/>
  <c r="BA36"/>
  <c r="BB36" s="1"/>
  <c r="BC36" s="1"/>
  <c r="BA50"/>
  <c r="BB50" s="1"/>
  <c r="BC50" s="1"/>
  <c r="BA52"/>
  <c r="BB52" s="1"/>
  <c r="BC52" s="1"/>
  <c r="BA62"/>
  <c r="BB62" s="1"/>
  <c r="BC62" s="1"/>
  <c r="BE108"/>
  <c r="BA135"/>
  <c r="BA150"/>
  <c r="AV46"/>
  <c r="AV50"/>
  <c r="J18"/>
  <c r="J180" i="65"/>
  <c r="AU34" i="116"/>
  <c r="AU38"/>
  <c r="AU46"/>
  <c r="AU50"/>
  <c r="AU56"/>
  <c r="AU58"/>
  <c r="AU70"/>
  <c r="BA108"/>
  <c r="BA116"/>
  <c r="AY28"/>
  <c r="AY30"/>
  <c r="AW34"/>
  <c r="AW38"/>
  <c r="AW46"/>
  <c r="AW50"/>
  <c r="AW56"/>
  <c r="AW58"/>
  <c r="AX66"/>
  <c r="AZ66"/>
  <c r="AV66"/>
  <c r="CF75"/>
  <c r="CK75"/>
  <c r="AV38"/>
  <c r="AX34"/>
  <c r="AX38"/>
  <c r="AX46"/>
  <c r="AX50"/>
  <c r="AX56"/>
  <c r="AX58"/>
  <c r="BE62"/>
  <c r="AU80"/>
  <c r="AU40"/>
  <c r="AU44"/>
  <c r="AY46"/>
  <c r="AU48"/>
  <c r="AY50"/>
  <c r="AU52"/>
  <c r="AU54"/>
  <c r="AY56"/>
  <c r="AY58"/>
  <c r="AX60"/>
  <c r="AZ60"/>
  <c r="AV60"/>
  <c r="AY69"/>
  <c r="AX69"/>
  <c r="AW69"/>
  <c r="AU69"/>
  <c r="AZ69"/>
  <c r="CF79"/>
  <c r="CK79"/>
  <c r="AU120"/>
  <c r="J14"/>
  <c r="BA28"/>
  <c r="AY34"/>
  <c r="AY38"/>
  <c r="AV32"/>
  <c r="AZ34"/>
  <c r="AV36"/>
  <c r="AV40"/>
  <c r="AV44"/>
  <c r="AV48"/>
  <c r="AV52"/>
  <c r="AV54"/>
  <c r="AZ56"/>
  <c r="AZ58"/>
  <c r="AW60"/>
  <c r="BA66"/>
  <c r="BA68"/>
  <c r="BA72"/>
  <c r="BA80"/>
  <c r="BA89"/>
  <c r="BA97"/>
  <c r="BA106"/>
  <c r="AU32"/>
  <c r="AU36"/>
  <c r="AU28"/>
  <c r="AU30"/>
  <c r="AY60"/>
  <c r="BA69"/>
  <c r="AY73"/>
  <c r="AX73"/>
  <c r="AW73"/>
  <c r="AU73"/>
  <c r="AZ73"/>
  <c r="AU74"/>
  <c r="BA112"/>
  <c r="AU66"/>
  <c r="AU68"/>
  <c r="AU72"/>
  <c r="AU76"/>
  <c r="AV62"/>
  <c r="AV68"/>
  <c r="AZ70"/>
  <c r="AZ72"/>
  <c r="AV74"/>
  <c r="AV76"/>
  <c r="AZ78"/>
  <c r="AV80"/>
  <c r="AU116"/>
  <c r="BA124"/>
  <c r="BB124" s="1"/>
  <c r="BA126"/>
  <c r="BB126" s="1"/>
  <c r="BA163"/>
  <c r="BB163" s="1"/>
  <c r="CF77"/>
  <c r="AV82"/>
  <c r="AV84"/>
  <c r="AV86"/>
  <c r="AV88"/>
  <c r="AU89"/>
  <c r="AV90"/>
  <c r="AV92"/>
  <c r="AU93"/>
  <c r="AV94"/>
  <c r="AV96"/>
  <c r="AU97"/>
  <c r="AV98"/>
  <c r="AV100"/>
  <c r="AU101"/>
  <c r="AV102"/>
  <c r="AV104"/>
  <c r="BA120"/>
  <c r="AU122"/>
  <c r="AU161"/>
  <c r="AU78"/>
  <c r="AV89"/>
  <c r="AV93"/>
  <c r="AV97"/>
  <c r="AV101"/>
  <c r="AV70"/>
  <c r="AV72"/>
  <c r="AV78"/>
  <c r="AW89"/>
  <c r="AW93"/>
  <c r="AW97"/>
  <c r="AW101"/>
  <c r="AX102"/>
  <c r="AX104"/>
  <c r="AU118"/>
  <c r="AU180"/>
  <c r="AZ180"/>
  <c r="AY180"/>
  <c r="AX180"/>
  <c r="AW180"/>
  <c r="AV180"/>
  <c r="AW70"/>
  <c r="AW72"/>
  <c r="AW78"/>
  <c r="AX89"/>
  <c r="AX93"/>
  <c r="AX97"/>
  <c r="AX101"/>
  <c r="AU124"/>
  <c r="BA161"/>
  <c r="BB161" s="1"/>
  <c r="AV161"/>
  <c r="AU162"/>
  <c r="AZ162"/>
  <c r="AY162"/>
  <c r="AW162"/>
  <c r="AX162"/>
  <c r="AU166"/>
  <c r="AZ166"/>
  <c r="AY166"/>
  <c r="AW166"/>
  <c r="AX166"/>
  <c r="AU170"/>
  <c r="AZ170"/>
  <c r="AY170"/>
  <c r="AW170"/>
  <c r="AX170"/>
  <c r="AU182"/>
  <c r="AZ182"/>
  <c r="AY182"/>
  <c r="AX182"/>
  <c r="AW182"/>
  <c r="AU194"/>
  <c r="AZ194"/>
  <c r="AY194"/>
  <c r="AX194"/>
  <c r="AW194"/>
  <c r="AZ116"/>
  <c r="AZ118"/>
  <c r="AZ120"/>
  <c r="AZ122"/>
  <c r="AZ124"/>
  <c r="AZ126"/>
  <c r="AZ128"/>
  <c r="AZ130"/>
  <c r="AZ132"/>
  <c r="AZ134"/>
  <c r="AZ136"/>
  <c r="AZ138"/>
  <c r="AZ140"/>
  <c r="AZ142"/>
  <c r="AZ144"/>
  <c r="AZ146"/>
  <c r="AU147"/>
  <c r="AZ148"/>
  <c r="AZ150"/>
  <c r="AZ152"/>
  <c r="AU153"/>
  <c r="AZ154"/>
  <c r="AU155"/>
  <c r="AZ156"/>
  <c r="AZ158"/>
  <c r="AW161"/>
  <c r="AU164"/>
  <c r="AZ164"/>
  <c r="AY164"/>
  <c r="AW164"/>
  <c r="AX164"/>
  <c r="BA180"/>
  <c r="BB180" s="1"/>
  <c r="AU184"/>
  <c r="AZ184"/>
  <c r="AY184"/>
  <c r="AX184"/>
  <c r="AW184"/>
  <c r="BA199"/>
  <c r="BB199" s="1"/>
  <c r="AV147"/>
  <c r="AV153"/>
  <c r="AV155"/>
  <c r="AV157"/>
  <c r="AX161"/>
  <c r="BA166"/>
  <c r="BB166" s="1"/>
  <c r="BA170"/>
  <c r="BB170" s="1"/>
  <c r="BA182"/>
  <c r="BB182" s="1"/>
  <c r="AU186"/>
  <c r="AZ186"/>
  <c r="AY186"/>
  <c r="AX186"/>
  <c r="AW186"/>
  <c r="BA194"/>
  <c r="BB194" s="1"/>
  <c r="AZ215"/>
  <c r="AY215"/>
  <c r="AX215"/>
  <c r="AW215"/>
  <c r="AU215"/>
  <c r="AV215"/>
  <c r="BA164"/>
  <c r="BB164" s="1"/>
  <c r="AU172"/>
  <c r="AZ172"/>
  <c r="AY172"/>
  <c r="AX172"/>
  <c r="AW172"/>
  <c r="AU188"/>
  <c r="AZ188"/>
  <c r="AY188"/>
  <c r="AX188"/>
  <c r="AW188"/>
  <c r="AU126"/>
  <c r="AU128"/>
  <c r="AU130"/>
  <c r="AU132"/>
  <c r="AU134"/>
  <c r="AU136"/>
  <c r="AU138"/>
  <c r="AU140"/>
  <c r="AU142"/>
  <c r="AU144"/>
  <c r="AU146"/>
  <c r="AU148"/>
  <c r="AU150"/>
  <c r="AU152"/>
  <c r="AU154"/>
  <c r="AU156"/>
  <c r="AU158"/>
  <c r="AU160"/>
  <c r="AU168"/>
  <c r="AZ168"/>
  <c r="AY168"/>
  <c r="AW168"/>
  <c r="AX168"/>
  <c r="AU174"/>
  <c r="AZ174"/>
  <c r="AY174"/>
  <c r="AX174"/>
  <c r="AW174"/>
  <c r="AU190"/>
  <c r="AZ190"/>
  <c r="AY190"/>
  <c r="AX190"/>
  <c r="AW190"/>
  <c r="BA196"/>
  <c r="BB196" s="1"/>
  <c r="AV116"/>
  <c r="AV118"/>
  <c r="AV120"/>
  <c r="AV122"/>
  <c r="AV124"/>
  <c r="AV126"/>
  <c r="AV128"/>
  <c r="AV130"/>
  <c r="AV132"/>
  <c r="AV134"/>
  <c r="AV136"/>
  <c r="AV138"/>
  <c r="AV140"/>
  <c r="AV142"/>
  <c r="AV144"/>
  <c r="AV146"/>
  <c r="AY147"/>
  <c r="AV148"/>
  <c r="AV150"/>
  <c r="AV152"/>
  <c r="AY153"/>
  <c r="AV154"/>
  <c r="AY155"/>
  <c r="AV156"/>
  <c r="AV158"/>
  <c r="AV160"/>
  <c r="BA172"/>
  <c r="BB172" s="1"/>
  <c r="AU176"/>
  <c r="AZ176"/>
  <c r="AY176"/>
  <c r="AX176"/>
  <c r="AW176"/>
  <c r="BA188"/>
  <c r="BB188" s="1"/>
  <c r="BC198"/>
  <c r="AY199"/>
  <c r="AX199"/>
  <c r="AU199"/>
  <c r="AV199"/>
  <c r="AZ199"/>
  <c r="AZ221"/>
  <c r="AY221"/>
  <c r="AX221"/>
  <c r="AW221"/>
  <c r="AU221"/>
  <c r="AV221"/>
  <c r="AX160"/>
  <c r="AX163"/>
  <c r="AU163"/>
  <c r="AZ163"/>
  <c r="AW163"/>
  <c r="BA168"/>
  <c r="BB168" s="1"/>
  <c r="BA174"/>
  <c r="BB174" s="1"/>
  <c r="AU178"/>
  <c r="AZ178"/>
  <c r="AY178"/>
  <c r="AX178"/>
  <c r="AW178"/>
  <c r="BA190"/>
  <c r="BB190" s="1"/>
  <c r="AU192"/>
  <c r="AZ192"/>
  <c r="AY192"/>
  <c r="AX192"/>
  <c r="AW192"/>
  <c r="AZ201"/>
  <c r="AY201"/>
  <c r="AX201"/>
  <c r="AW201"/>
  <c r="AU201"/>
  <c r="AV201"/>
  <c r="AZ165"/>
  <c r="AZ167"/>
  <c r="AZ169"/>
  <c r="AZ171"/>
  <c r="AZ173"/>
  <c r="AZ175"/>
  <c r="AZ177"/>
  <c r="AZ179"/>
  <c r="AZ181"/>
  <c r="AZ183"/>
  <c r="AZ185"/>
  <c r="AZ187"/>
  <c r="AZ189"/>
  <c r="AZ191"/>
  <c r="AZ193"/>
  <c r="AZ195"/>
  <c r="AZ205"/>
  <c r="AY205"/>
  <c r="AX205"/>
  <c r="AW205"/>
  <c r="AU205"/>
  <c r="BA207"/>
  <c r="BB207" s="1"/>
  <c r="BA227"/>
  <c r="BB227" s="1"/>
  <c r="AZ211"/>
  <c r="AY211"/>
  <c r="AX211"/>
  <c r="AW211"/>
  <c r="AU211"/>
  <c r="AZ223"/>
  <c r="AY223"/>
  <c r="AX223"/>
  <c r="AW223"/>
  <c r="AU223"/>
  <c r="AZ217"/>
  <c r="AY217"/>
  <c r="AX217"/>
  <c r="AW217"/>
  <c r="AU217"/>
  <c r="BA221"/>
  <c r="BB221" s="1"/>
  <c r="AU165"/>
  <c r="AU167"/>
  <c r="AU169"/>
  <c r="AU171"/>
  <c r="AU181"/>
  <c r="AU183"/>
  <c r="AU185"/>
  <c r="AU187"/>
  <c r="AU189"/>
  <c r="AU191"/>
  <c r="AU193"/>
  <c r="AU195"/>
  <c r="AZ207"/>
  <c r="AY207"/>
  <c r="AX207"/>
  <c r="AW207"/>
  <c r="AU207"/>
  <c r="BA215"/>
  <c r="BB215" s="1"/>
  <c r="AZ225"/>
  <c r="AY225"/>
  <c r="AX225"/>
  <c r="AW225"/>
  <c r="AU225"/>
  <c r="BA230"/>
  <c r="BB230" s="1"/>
  <c r="AU232"/>
  <c r="AV165"/>
  <c r="AV167"/>
  <c r="AV169"/>
  <c r="AV171"/>
  <c r="AV173"/>
  <c r="AV175"/>
  <c r="AV177"/>
  <c r="AV179"/>
  <c r="AV181"/>
  <c r="AV183"/>
  <c r="AV185"/>
  <c r="AV187"/>
  <c r="AV189"/>
  <c r="AV191"/>
  <c r="AV193"/>
  <c r="AV195"/>
  <c r="AZ203"/>
  <c r="AY203"/>
  <c r="AX203"/>
  <c r="AW203"/>
  <c r="AU203"/>
  <c r="AZ213"/>
  <c r="AY213"/>
  <c r="AX213"/>
  <c r="AW213"/>
  <c r="AU213"/>
  <c r="BA223"/>
  <c r="BB223" s="1"/>
  <c r="BA229"/>
  <c r="BB229" s="1"/>
  <c r="AY197"/>
  <c r="AX197"/>
  <c r="AU197"/>
  <c r="AW197"/>
  <c r="BC205"/>
  <c r="BA211"/>
  <c r="BB211" s="1"/>
  <c r="AZ219"/>
  <c r="AY219"/>
  <c r="AX219"/>
  <c r="AW219"/>
  <c r="AU219"/>
  <c r="AZ227"/>
  <c r="AY227"/>
  <c r="AX227"/>
  <c r="AW227"/>
  <c r="AU227"/>
  <c r="AZ197"/>
  <c r="AZ209"/>
  <c r="AY209"/>
  <c r="AX209"/>
  <c r="AW209"/>
  <c r="AU209"/>
  <c r="BA217"/>
  <c r="BB217" s="1"/>
  <c r="BA225"/>
  <c r="BB225" s="1"/>
  <c r="BA231"/>
  <c r="BB231" s="1"/>
  <c r="AZ196"/>
  <c r="AZ198"/>
  <c r="AZ200"/>
  <c r="AZ202"/>
  <c r="AZ204"/>
  <c r="AZ206"/>
  <c r="AZ208"/>
  <c r="AZ210"/>
  <c r="AZ212"/>
  <c r="AZ214"/>
  <c r="AZ216"/>
  <c r="AZ218"/>
  <c r="AZ220"/>
  <c r="AZ222"/>
  <c r="AZ224"/>
  <c r="AZ226"/>
  <c r="BA238"/>
  <c r="BB238" s="1"/>
  <c r="BA243"/>
  <c r="BB243" s="1"/>
  <c r="BA247"/>
  <c r="BB247" s="1"/>
  <c r="BA251"/>
  <c r="BB251" s="1"/>
  <c r="BA255"/>
  <c r="BB255" s="1"/>
  <c r="AU230"/>
  <c r="AU236"/>
  <c r="AU295"/>
  <c r="AZ295"/>
  <c r="AY295"/>
  <c r="AX295"/>
  <c r="AW295"/>
  <c r="AV295"/>
  <c r="AU200"/>
  <c r="AU202"/>
  <c r="AU204"/>
  <c r="AU206"/>
  <c r="AU208"/>
  <c r="AU210"/>
  <c r="AU212"/>
  <c r="AU214"/>
  <c r="AU216"/>
  <c r="AU218"/>
  <c r="AU220"/>
  <c r="AU222"/>
  <c r="AU224"/>
  <c r="AU226"/>
  <c r="BA242"/>
  <c r="BB242" s="1"/>
  <c r="BA246"/>
  <c r="BB246" s="1"/>
  <c r="BA250"/>
  <c r="BB250" s="1"/>
  <c r="BA254"/>
  <c r="BB254" s="1"/>
  <c r="AV196"/>
  <c r="AV198"/>
  <c r="AV200"/>
  <c r="AV202"/>
  <c r="AV204"/>
  <c r="AV206"/>
  <c r="AV208"/>
  <c r="AV210"/>
  <c r="AV212"/>
  <c r="AV214"/>
  <c r="AV216"/>
  <c r="AV218"/>
  <c r="AV220"/>
  <c r="AV222"/>
  <c r="AV224"/>
  <c r="AV226"/>
  <c r="AY229"/>
  <c r="AU229"/>
  <c r="AW229"/>
  <c r="AZ231"/>
  <c r="AY231"/>
  <c r="AU231"/>
  <c r="AW231"/>
  <c r="BA241"/>
  <c r="BB241" s="1"/>
  <c r="BA245"/>
  <c r="BB245" s="1"/>
  <c r="BA249"/>
  <c r="BB249" s="1"/>
  <c r="BA253"/>
  <c r="BB253" s="1"/>
  <c r="BA236"/>
  <c r="BB236" s="1"/>
  <c r="AU265"/>
  <c r="AZ265"/>
  <c r="AY265"/>
  <c r="AX265"/>
  <c r="AW265"/>
  <c r="AV265"/>
  <c r="AU279"/>
  <c r="AZ279"/>
  <c r="AY279"/>
  <c r="AX279"/>
  <c r="AW279"/>
  <c r="AV279"/>
  <c r="AX220"/>
  <c r="AX222"/>
  <c r="AX224"/>
  <c r="AX226"/>
  <c r="AZ229"/>
  <c r="AU234"/>
  <c r="BA262"/>
  <c r="BB262" s="1"/>
  <c r="BA240"/>
  <c r="BB240" s="1"/>
  <c r="BA244"/>
  <c r="BB244" s="1"/>
  <c r="BA248"/>
  <c r="BB248" s="1"/>
  <c r="BA252"/>
  <c r="BB252" s="1"/>
  <c r="BA256"/>
  <c r="BB256" s="1"/>
  <c r="BA259"/>
  <c r="BB259" s="1"/>
  <c r="BC261"/>
  <c r="BA263"/>
  <c r="BB263" s="1"/>
  <c r="AU264"/>
  <c r="AU281"/>
  <c r="AZ281"/>
  <c r="AY281"/>
  <c r="AX281"/>
  <c r="AW281"/>
  <c r="AU297"/>
  <c r="AZ297"/>
  <c r="AY297"/>
  <c r="AX297"/>
  <c r="AW297"/>
  <c r="AZ228"/>
  <c r="AZ230"/>
  <c r="AZ232"/>
  <c r="AU233"/>
  <c r="AZ234"/>
  <c r="AU235"/>
  <c r="AZ236"/>
  <c r="AU237"/>
  <c r="AZ238"/>
  <c r="AU239"/>
  <c r="AZ240"/>
  <c r="AU241"/>
  <c r="AZ242"/>
  <c r="AU243"/>
  <c r="AZ244"/>
  <c r="AU245"/>
  <c r="AZ246"/>
  <c r="AU247"/>
  <c r="AZ248"/>
  <c r="AU249"/>
  <c r="AZ250"/>
  <c r="AU251"/>
  <c r="AZ252"/>
  <c r="AU253"/>
  <c r="AZ254"/>
  <c r="AU255"/>
  <c r="AZ256"/>
  <c r="AU257"/>
  <c r="AZ258"/>
  <c r="AU259"/>
  <c r="AU262"/>
  <c r="AU267"/>
  <c r="AZ267"/>
  <c r="AY267"/>
  <c r="AX267"/>
  <c r="AW267"/>
  <c r="AU271"/>
  <c r="AZ271"/>
  <c r="AY271"/>
  <c r="AX271"/>
  <c r="AW271"/>
  <c r="AU277"/>
  <c r="AZ277"/>
  <c r="AY277"/>
  <c r="AX277"/>
  <c r="AW277"/>
  <c r="AU293"/>
  <c r="AZ293"/>
  <c r="AY293"/>
  <c r="AX293"/>
  <c r="AW293"/>
  <c r="AV233"/>
  <c r="AV235"/>
  <c r="AV237"/>
  <c r="AV239"/>
  <c r="AV241"/>
  <c r="AV243"/>
  <c r="AV245"/>
  <c r="AV247"/>
  <c r="AV249"/>
  <c r="AV251"/>
  <c r="AV253"/>
  <c r="AV255"/>
  <c r="AV257"/>
  <c r="AV259"/>
  <c r="AU263"/>
  <c r="AZ263"/>
  <c r="AY263"/>
  <c r="AW263"/>
  <c r="AU269"/>
  <c r="AZ269"/>
  <c r="AY269"/>
  <c r="AX269"/>
  <c r="AW269"/>
  <c r="AU273"/>
  <c r="AZ273"/>
  <c r="AY273"/>
  <c r="AX273"/>
  <c r="AW273"/>
  <c r="AU275"/>
  <c r="AZ275"/>
  <c r="AY275"/>
  <c r="AX275"/>
  <c r="AW275"/>
  <c r="AU291"/>
  <c r="AZ291"/>
  <c r="AY291"/>
  <c r="AX291"/>
  <c r="AW291"/>
  <c r="AU260"/>
  <c r="AU289"/>
  <c r="AZ289"/>
  <c r="AY289"/>
  <c r="AX289"/>
  <c r="AW289"/>
  <c r="AU238"/>
  <c r="AU240"/>
  <c r="AU242"/>
  <c r="AU244"/>
  <c r="AU246"/>
  <c r="AU248"/>
  <c r="AU250"/>
  <c r="AU252"/>
  <c r="AU254"/>
  <c r="AU256"/>
  <c r="AX257"/>
  <c r="AU258"/>
  <c r="AX259"/>
  <c r="AU261"/>
  <c r="AZ261"/>
  <c r="AY261"/>
  <c r="AW261"/>
  <c r="AU287"/>
  <c r="AZ287"/>
  <c r="AY287"/>
  <c r="AX287"/>
  <c r="AW287"/>
  <c r="AU303"/>
  <c r="AZ303"/>
  <c r="AY303"/>
  <c r="AX303"/>
  <c r="AW303"/>
  <c r="AY233"/>
  <c r="AY235"/>
  <c r="AY237"/>
  <c r="AY239"/>
  <c r="AY241"/>
  <c r="AY243"/>
  <c r="AY245"/>
  <c r="AY247"/>
  <c r="AY249"/>
  <c r="AY251"/>
  <c r="AY253"/>
  <c r="AY255"/>
  <c r="AY257"/>
  <c r="AY259"/>
  <c r="AX261"/>
  <c r="BA279"/>
  <c r="BB279" s="1"/>
  <c r="AU285"/>
  <c r="AZ285"/>
  <c r="AY285"/>
  <c r="AX285"/>
  <c r="AW285"/>
  <c r="AU301"/>
  <c r="AZ301"/>
  <c r="AY301"/>
  <c r="AX301"/>
  <c r="AW301"/>
  <c r="AV281"/>
  <c r="AU283"/>
  <c r="AZ283"/>
  <c r="AY283"/>
  <c r="AX283"/>
  <c r="AW283"/>
  <c r="AV297"/>
  <c r="AU299"/>
  <c r="AZ299"/>
  <c r="AY299"/>
  <c r="AX299"/>
  <c r="AW299"/>
  <c r="AU266"/>
  <c r="AU268"/>
  <c r="AU270"/>
  <c r="AV260"/>
  <c r="AV262"/>
  <c r="AV264"/>
  <c r="AW260"/>
  <c r="AW262"/>
  <c r="AW264"/>
  <c r="BI305" l="1"/>
  <c r="BL305"/>
  <c r="J173" i="65" s="1"/>
  <c r="BK305" i="116"/>
  <c r="J172" i="65" s="1"/>
  <c r="BC268" i="116"/>
  <c r="BC235"/>
  <c r="BC212"/>
  <c r="BC210"/>
  <c r="BC280"/>
  <c r="BC274"/>
  <c r="BC281"/>
  <c r="F270"/>
  <c r="BC304"/>
  <c r="BC209"/>
  <c r="BC293"/>
  <c r="BC257"/>
  <c r="BC232"/>
  <c r="BC177"/>
  <c r="BC294"/>
  <c r="BC264"/>
  <c r="BC296"/>
  <c r="BC214"/>
  <c r="BC208"/>
  <c r="BC195"/>
  <c r="BC157"/>
  <c r="H124"/>
  <c r="F274"/>
  <c r="BC156"/>
  <c r="CI94"/>
  <c r="CI93"/>
  <c r="BC224"/>
  <c r="BC302"/>
  <c r="BC202"/>
  <c r="BC184"/>
  <c r="BC169"/>
  <c r="H150"/>
  <c r="BC277"/>
  <c r="BC239"/>
  <c r="BC171"/>
  <c r="BJ219"/>
  <c r="BJ208"/>
  <c r="BJ197"/>
  <c r="BJ189"/>
  <c r="BJ195"/>
  <c r="H180"/>
  <c r="BJ222"/>
  <c r="H188"/>
  <c r="BJ198"/>
  <c r="BJ241"/>
  <c r="H261"/>
  <c r="BJ270"/>
  <c r="BJ163"/>
  <c r="H249"/>
  <c r="H172"/>
  <c r="H251"/>
  <c r="BC216"/>
  <c r="H258"/>
  <c r="H245"/>
  <c r="F268"/>
  <c r="H242"/>
  <c r="BJ259"/>
  <c r="H170"/>
  <c r="BJ175"/>
  <c r="H144"/>
  <c r="BJ183"/>
  <c r="F300"/>
  <c r="F278"/>
  <c r="BJ210"/>
  <c r="H228"/>
  <c r="H243"/>
  <c r="BJ168"/>
  <c r="H186"/>
  <c r="BJ200"/>
  <c r="H256"/>
  <c r="BJ228"/>
  <c r="H259"/>
  <c r="BJ205"/>
  <c r="BJ201"/>
  <c r="BJ226"/>
  <c r="BJ181"/>
  <c r="BJ170"/>
  <c r="BJ161"/>
  <c r="BJ211"/>
  <c r="BJ212"/>
  <c r="H140"/>
  <c r="BJ242"/>
  <c r="BJ235"/>
  <c r="H241"/>
  <c r="H178"/>
  <c r="BJ264"/>
  <c r="BC266"/>
  <c r="H234"/>
  <c r="BJ238"/>
  <c r="BJ244"/>
  <c r="H264"/>
  <c r="H192"/>
  <c r="H184"/>
  <c r="H176"/>
  <c r="H168"/>
  <c r="BJ214"/>
  <c r="BJ225"/>
  <c r="BJ229"/>
  <c r="BJ193"/>
  <c r="H138"/>
  <c r="BJ134"/>
  <c r="BJ148"/>
  <c r="H260"/>
  <c r="BC303"/>
  <c r="BJ206"/>
  <c r="H194"/>
  <c r="H248"/>
  <c r="BJ271"/>
  <c r="BC291"/>
  <c r="H246"/>
  <c r="BJ250"/>
  <c r="BC278"/>
  <c r="BJ262"/>
  <c r="BJ255"/>
  <c r="H232"/>
  <c r="F178"/>
  <c r="H166"/>
  <c r="BJ180"/>
  <c r="BJ169"/>
  <c r="H136"/>
  <c r="H120"/>
  <c r="BJ132"/>
  <c r="BJ147"/>
  <c r="H250"/>
  <c r="F179"/>
  <c r="E179" s="1"/>
  <c r="BE179" s="1"/>
  <c r="H198"/>
  <c r="BJ110"/>
  <c r="BJ268"/>
  <c r="BJ233"/>
  <c r="BJ209"/>
  <c r="H236"/>
  <c r="H240"/>
  <c r="BJ254"/>
  <c r="H238"/>
  <c r="H254"/>
  <c r="H267"/>
  <c r="BJ258"/>
  <c r="H263"/>
  <c r="BC289"/>
  <c r="BJ266"/>
  <c r="BJ253"/>
  <c r="BJ257"/>
  <c r="BJ269"/>
  <c r="BJ263"/>
  <c r="BJ237"/>
  <c r="H255"/>
  <c r="BJ216"/>
  <c r="H190"/>
  <c r="H182"/>
  <c r="H174"/>
  <c r="F165"/>
  <c r="E165" s="1"/>
  <c r="BE165" s="1"/>
  <c r="BJ218"/>
  <c r="BJ166"/>
  <c r="BJ179"/>
  <c r="BJ159"/>
  <c r="BJ138"/>
  <c r="BJ125"/>
  <c r="BJ142"/>
  <c r="F282"/>
  <c r="BJ252"/>
  <c r="H239"/>
  <c r="H252"/>
  <c r="H244"/>
  <c r="BJ246"/>
  <c r="BJ249"/>
  <c r="H253"/>
  <c r="BJ261"/>
  <c r="H247"/>
  <c r="BJ215"/>
  <c r="BJ220"/>
  <c r="BJ204"/>
  <c r="BJ203"/>
  <c r="BJ173"/>
  <c r="H152"/>
  <c r="BJ29"/>
  <c r="BJ64"/>
  <c r="H64"/>
  <c r="H65"/>
  <c r="BJ65"/>
  <c r="H105"/>
  <c r="BJ101"/>
  <c r="BJ30"/>
  <c r="BJ136"/>
  <c r="H103"/>
  <c r="H119"/>
  <c r="BJ28"/>
  <c r="F248"/>
  <c r="BJ245"/>
  <c r="H257"/>
  <c r="BJ273"/>
  <c r="H265"/>
  <c r="BJ248"/>
  <c r="BJ247"/>
  <c r="BJ199"/>
  <c r="BJ251"/>
  <c r="H235"/>
  <c r="BJ178"/>
  <c r="H230"/>
  <c r="H200"/>
  <c r="H158"/>
  <c r="H148"/>
  <c r="H134"/>
  <c r="BJ188"/>
  <c r="BJ149"/>
  <c r="BJ131"/>
  <c r="F86"/>
  <c r="BJ127"/>
  <c r="H89"/>
  <c r="BJ41"/>
  <c r="BJ192"/>
  <c r="BJ177"/>
  <c r="BJ230"/>
  <c r="H132"/>
  <c r="BJ187"/>
  <c r="BJ171"/>
  <c r="BJ160"/>
  <c r="BJ186"/>
  <c r="BJ150"/>
  <c r="BJ144"/>
  <c r="BJ154"/>
  <c r="BJ158"/>
  <c r="H87"/>
  <c r="BJ43"/>
  <c r="BJ104"/>
  <c r="BJ243"/>
  <c r="BJ194"/>
  <c r="BJ182"/>
  <c r="BJ191"/>
  <c r="BJ223"/>
  <c r="BJ176"/>
  <c r="BJ190"/>
  <c r="BJ174"/>
  <c r="H156"/>
  <c r="H146"/>
  <c r="H130"/>
  <c r="BJ167"/>
  <c r="BJ185"/>
  <c r="BJ139"/>
  <c r="H126"/>
  <c r="BJ143"/>
  <c r="H160"/>
  <c r="H36"/>
  <c r="BJ37"/>
  <c r="BJ73"/>
  <c r="BJ130"/>
  <c r="H121"/>
  <c r="BJ63"/>
  <c r="BJ57"/>
  <c r="BJ256"/>
  <c r="BJ240"/>
  <c r="H262"/>
  <c r="BJ202"/>
  <c r="H233"/>
  <c r="BJ221"/>
  <c r="H237"/>
  <c r="BJ231"/>
  <c r="BJ213"/>
  <c r="BJ236"/>
  <c r="BJ207"/>
  <c r="BJ217"/>
  <c r="BJ165"/>
  <c r="H154"/>
  <c r="H142"/>
  <c r="BJ224"/>
  <c r="BJ126"/>
  <c r="BJ128"/>
  <c r="BJ137"/>
  <c r="H164"/>
  <c r="BJ184"/>
  <c r="BJ31"/>
  <c r="F301"/>
  <c r="E301" s="1"/>
  <c r="BE301" s="1"/>
  <c r="BC220"/>
  <c r="BB136"/>
  <c r="BC136" s="1"/>
  <c r="F296"/>
  <c r="F290"/>
  <c r="BC283"/>
  <c r="F266"/>
  <c r="BB151"/>
  <c r="BC151" s="1"/>
  <c r="BB284"/>
  <c r="BC284" s="1"/>
  <c r="BB162"/>
  <c r="BC162" s="1"/>
  <c r="BB271"/>
  <c r="BC271" s="1"/>
  <c r="BB298"/>
  <c r="BC298" s="1"/>
  <c r="BB179"/>
  <c r="BC179" s="1"/>
  <c r="BB273"/>
  <c r="BC273" s="1"/>
  <c r="BB300"/>
  <c r="BC300" s="1"/>
  <c r="BB192"/>
  <c r="BC192" s="1"/>
  <c r="BB222"/>
  <c r="BC222" s="1"/>
  <c r="BB178"/>
  <c r="BC178" s="1"/>
  <c r="BB142"/>
  <c r="BC142" s="1"/>
  <c r="BC219"/>
  <c r="BC185"/>
  <c r="BC173"/>
  <c r="BB269"/>
  <c r="BC269" s="1"/>
  <c r="BB297"/>
  <c r="BC297" s="1"/>
  <c r="BB189"/>
  <c r="BC189" s="1"/>
  <c r="BB204"/>
  <c r="BC204" s="1"/>
  <c r="BB159"/>
  <c r="BC159" s="1"/>
  <c r="F292"/>
  <c r="BC267"/>
  <c r="BC265"/>
  <c r="F217"/>
  <c r="E217" s="1"/>
  <c r="BE217" s="1"/>
  <c r="BC167"/>
  <c r="BB150"/>
  <c r="BC150" s="1"/>
  <c r="BB148"/>
  <c r="BC148" s="1"/>
  <c r="BB149"/>
  <c r="BC149" s="1"/>
  <c r="BB275"/>
  <c r="BC275" s="1"/>
  <c r="BB226"/>
  <c r="BC226" s="1"/>
  <c r="BB176"/>
  <c r="BC176" s="1"/>
  <c r="BB228"/>
  <c r="BC228" s="1"/>
  <c r="BB282"/>
  <c r="BC282" s="1"/>
  <c r="BB197"/>
  <c r="BC197" s="1"/>
  <c r="BB155"/>
  <c r="BC155" s="1"/>
  <c r="BB146"/>
  <c r="BC146" s="1"/>
  <c r="BB140"/>
  <c r="BC140" s="1"/>
  <c r="BB138"/>
  <c r="BC138" s="1"/>
  <c r="BB139"/>
  <c r="BC139" s="1"/>
  <c r="BB258"/>
  <c r="BC258" s="1"/>
  <c r="BB193"/>
  <c r="BC193" s="1"/>
  <c r="BB218"/>
  <c r="BC218" s="1"/>
  <c r="BB287"/>
  <c r="BC287" s="1"/>
  <c r="F288"/>
  <c r="F232"/>
  <c r="BC153"/>
  <c r="BB145"/>
  <c r="BC145" s="1"/>
  <c r="BB147"/>
  <c r="BC147" s="1"/>
  <c r="BB154"/>
  <c r="BC154" s="1"/>
  <c r="BB288"/>
  <c r="BC288" s="1"/>
  <c r="BB286"/>
  <c r="BC286" s="1"/>
  <c r="BB165"/>
  <c r="BC165" s="1"/>
  <c r="BB276"/>
  <c r="BC276" s="1"/>
  <c r="BB181"/>
  <c r="BC181" s="1"/>
  <c r="BB191"/>
  <c r="BC191" s="1"/>
  <c r="F286"/>
  <c r="BB141"/>
  <c r="BC141" s="1"/>
  <c r="F230"/>
  <c r="BC295"/>
  <c r="F183"/>
  <c r="E183" s="1"/>
  <c r="BE183" s="1"/>
  <c r="BC183"/>
  <c r="F186"/>
  <c r="F164"/>
  <c r="BB152"/>
  <c r="BC152" s="1"/>
  <c r="BB144"/>
  <c r="BC144" s="1"/>
  <c r="BB143"/>
  <c r="BC143" s="1"/>
  <c r="BB285"/>
  <c r="BC285" s="1"/>
  <c r="BB203"/>
  <c r="BC203" s="1"/>
  <c r="BB233"/>
  <c r="BC233" s="1"/>
  <c r="BB299"/>
  <c r="BC299" s="1"/>
  <c r="BB175"/>
  <c r="BC175" s="1"/>
  <c r="BB200"/>
  <c r="BC200" s="1"/>
  <c r="BB301"/>
  <c r="BC301" s="1"/>
  <c r="BB187"/>
  <c r="BC187" s="1"/>
  <c r="BB270"/>
  <c r="BC270" s="1"/>
  <c r="BB201"/>
  <c r="BC201" s="1"/>
  <c r="BB158"/>
  <c r="BC158" s="1"/>
  <c r="J174" i="65"/>
  <c r="D60" i="116"/>
  <c r="D58"/>
  <c r="F40"/>
  <c r="F90"/>
  <c r="F76"/>
  <c r="F48"/>
  <c r="BC118"/>
  <c r="BB134"/>
  <c r="BC134" s="1"/>
  <c r="BB135"/>
  <c r="BC135" s="1"/>
  <c r="BB122"/>
  <c r="BC122" s="1"/>
  <c r="BB128"/>
  <c r="BC128" s="1"/>
  <c r="BB132"/>
  <c r="BC132" s="1"/>
  <c r="BB129"/>
  <c r="BC129" s="1"/>
  <c r="BB130"/>
  <c r="BC130" s="1"/>
  <c r="F126"/>
  <c r="F246"/>
  <c r="F238"/>
  <c r="F304"/>
  <c r="F170"/>
  <c r="F272"/>
  <c r="F254"/>
  <c r="F228"/>
  <c r="F162"/>
  <c r="F298"/>
  <c r="F303"/>
  <c r="E303" s="1"/>
  <c r="BE303" s="1"/>
  <c r="F271"/>
  <c r="E271" s="1"/>
  <c r="BE271" s="1"/>
  <c r="F258"/>
  <c r="F250"/>
  <c r="F234"/>
  <c r="F231"/>
  <c r="E231" s="1"/>
  <c r="BE231" s="1"/>
  <c r="F285"/>
  <c r="E285" s="1"/>
  <c r="BE285" s="1"/>
  <c r="F256"/>
  <c r="F240"/>
  <c r="F236"/>
  <c r="F159"/>
  <c r="E159" s="1"/>
  <c r="BE159" s="1"/>
  <c r="F263"/>
  <c r="E263" s="1"/>
  <c r="BE263" s="1"/>
  <c r="F229"/>
  <c r="E229" s="1"/>
  <c r="BE229" s="1"/>
  <c r="F216"/>
  <c r="F200"/>
  <c r="F197"/>
  <c r="E197" s="1"/>
  <c r="BE197" s="1"/>
  <c r="F193"/>
  <c r="E193" s="1"/>
  <c r="BE193" s="1"/>
  <c r="F185"/>
  <c r="E185" s="1"/>
  <c r="BE185" s="1"/>
  <c r="F177"/>
  <c r="E177" s="1"/>
  <c r="BE177" s="1"/>
  <c r="F169"/>
  <c r="E169" s="1"/>
  <c r="BE169" s="1"/>
  <c r="F211"/>
  <c r="E211" s="1"/>
  <c r="BE211" s="1"/>
  <c r="F174"/>
  <c r="F166"/>
  <c r="F269"/>
  <c r="E269" s="1"/>
  <c r="BE269" s="1"/>
  <c r="F198"/>
  <c r="F209"/>
  <c r="E209" s="1"/>
  <c r="BE209" s="1"/>
  <c r="F225"/>
  <c r="E225" s="1"/>
  <c r="BE225" s="1"/>
  <c r="F157"/>
  <c r="E157" s="1"/>
  <c r="BE157" s="1"/>
  <c r="F294"/>
  <c r="F242"/>
  <c r="F261"/>
  <c r="E261" s="1"/>
  <c r="BE261" s="1"/>
  <c r="F291"/>
  <c r="E291" s="1"/>
  <c r="BE291" s="1"/>
  <c r="F245"/>
  <c r="E245" s="1"/>
  <c r="BE245" s="1"/>
  <c r="F277"/>
  <c r="E277" s="1"/>
  <c r="BE277" s="1"/>
  <c r="F213"/>
  <c r="E213" s="1"/>
  <c r="BE213" s="1"/>
  <c r="F203"/>
  <c r="E203" s="1"/>
  <c r="BE203" s="1"/>
  <c r="F207"/>
  <c r="E207" s="1"/>
  <c r="BE207" s="1"/>
  <c r="F223"/>
  <c r="E223" s="1"/>
  <c r="BE223" s="1"/>
  <c r="F205"/>
  <c r="E205" s="1"/>
  <c r="BE205" s="1"/>
  <c r="F176"/>
  <c r="F158"/>
  <c r="F289"/>
  <c r="E289" s="1"/>
  <c r="BE289" s="1"/>
  <c r="BC186"/>
  <c r="F188"/>
  <c r="F172"/>
  <c r="F184"/>
  <c r="F284"/>
  <c r="F302"/>
  <c r="F287"/>
  <c r="E287" s="1"/>
  <c r="BE287" s="1"/>
  <c r="F275"/>
  <c r="E275" s="1"/>
  <c r="BE275" s="1"/>
  <c r="F299"/>
  <c r="E299" s="1"/>
  <c r="BE299" s="1"/>
  <c r="F293"/>
  <c r="E293" s="1"/>
  <c r="BE293" s="1"/>
  <c r="F267"/>
  <c r="E267" s="1"/>
  <c r="BE267" s="1"/>
  <c r="F252"/>
  <c r="F244"/>
  <c r="F206"/>
  <c r="F227"/>
  <c r="E227" s="1"/>
  <c r="BE227" s="1"/>
  <c r="F219"/>
  <c r="E219" s="1"/>
  <c r="BE219" s="1"/>
  <c r="F182"/>
  <c r="F280"/>
  <c r="F283"/>
  <c r="E283" s="1"/>
  <c r="BE283" s="1"/>
  <c r="F273"/>
  <c r="E273" s="1"/>
  <c r="BE273" s="1"/>
  <c r="F264"/>
  <c r="F220"/>
  <c r="F204"/>
  <c r="F195"/>
  <c r="E195" s="1"/>
  <c r="BE195" s="1"/>
  <c r="F187"/>
  <c r="E187" s="1"/>
  <c r="BE187" s="1"/>
  <c r="F171"/>
  <c r="E171" s="1"/>
  <c r="BE171" s="1"/>
  <c r="F192"/>
  <c r="F190"/>
  <c r="F168"/>
  <c r="F194"/>
  <c r="F276"/>
  <c r="BC206"/>
  <c r="BC290"/>
  <c r="BC213"/>
  <c r="BC272"/>
  <c r="BC237"/>
  <c r="BC234"/>
  <c r="BC160"/>
  <c r="BC260"/>
  <c r="BC292"/>
  <c r="F154"/>
  <c r="F150"/>
  <c r="F132"/>
  <c r="F124"/>
  <c r="F116"/>
  <c r="D102"/>
  <c r="D126"/>
  <c r="D120"/>
  <c r="D116"/>
  <c r="D124"/>
  <c r="D122"/>
  <c r="D114"/>
  <c r="D118"/>
  <c r="D112"/>
  <c r="F114"/>
  <c r="D80"/>
  <c r="D104"/>
  <c r="F108"/>
  <c r="D128"/>
  <c r="D130"/>
  <c r="D30"/>
  <c r="D144"/>
  <c r="D138"/>
  <c r="D98"/>
  <c r="D136"/>
  <c r="D56"/>
  <c r="D70"/>
  <c r="D140"/>
  <c r="D54"/>
  <c r="D44"/>
  <c r="D48"/>
  <c r="D42"/>
  <c r="D46"/>
  <c r="D74"/>
  <c r="D86"/>
  <c r="D134"/>
  <c r="D78"/>
  <c r="D40"/>
  <c r="F148"/>
  <c r="F134"/>
  <c r="F92"/>
  <c r="F74"/>
  <c r="F106"/>
  <c r="F110"/>
  <c r="F98"/>
  <c r="F112"/>
  <c r="F142"/>
  <c r="F84"/>
  <c r="BC70"/>
  <c r="F30"/>
  <c r="F96"/>
  <c r="F88"/>
  <c r="D142"/>
  <c r="BC93"/>
  <c r="F102"/>
  <c r="F94"/>
  <c r="F122"/>
  <c r="F70"/>
  <c r="D146"/>
  <c r="D36"/>
  <c r="D34"/>
  <c r="D68"/>
  <c r="D72"/>
  <c r="D150"/>
  <c r="D76"/>
  <c r="D84"/>
  <c r="D82"/>
  <c r="D52"/>
  <c r="D50"/>
  <c r="F100"/>
  <c r="BC58"/>
  <c r="D132"/>
  <c r="D32"/>
  <c r="D62"/>
  <c r="D38"/>
  <c r="D108"/>
  <c r="F82"/>
  <c r="F62"/>
  <c r="BC137"/>
  <c r="BC60"/>
  <c r="D106"/>
  <c r="D152"/>
  <c r="D110"/>
  <c r="D148"/>
  <c r="D28"/>
  <c r="F58"/>
  <c r="F68"/>
  <c r="F52"/>
  <c r="F69"/>
  <c r="E69" s="1"/>
  <c r="BE69" s="1"/>
  <c r="F80"/>
  <c r="F138"/>
  <c r="F146"/>
  <c r="F130"/>
  <c r="F72"/>
  <c r="F44"/>
  <c r="F56"/>
  <c r="BC34"/>
  <c r="F73"/>
  <c r="E73" s="1"/>
  <c r="BE73" s="1"/>
  <c r="F118"/>
  <c r="F34"/>
  <c r="BC279"/>
  <c r="F233"/>
  <c r="E233" s="1"/>
  <c r="BE233" s="1"/>
  <c r="BC207"/>
  <c r="BB68"/>
  <c r="BC68" s="1"/>
  <c r="F259"/>
  <c r="E259" s="1"/>
  <c r="BE259" s="1"/>
  <c r="F243"/>
  <c r="E243" s="1"/>
  <c r="BE243" s="1"/>
  <c r="BC263"/>
  <c r="BC241"/>
  <c r="F214"/>
  <c r="BC250"/>
  <c r="BC225"/>
  <c r="BC229"/>
  <c r="BC227"/>
  <c r="BC161"/>
  <c r="F97"/>
  <c r="E97" s="1"/>
  <c r="BE97" s="1"/>
  <c r="BC124"/>
  <c r="BJ112"/>
  <c r="BJ106"/>
  <c r="BJ76"/>
  <c r="H46"/>
  <c r="BB97"/>
  <c r="BC97" s="1"/>
  <c r="H37"/>
  <c r="BJ82"/>
  <c r="F60"/>
  <c r="BJ91"/>
  <c r="BJ75"/>
  <c r="BJ260"/>
  <c r="BB116"/>
  <c r="BC116" s="1"/>
  <c r="BJ94"/>
  <c r="BJ38"/>
  <c r="BJ36"/>
  <c r="F262"/>
  <c r="F251"/>
  <c r="E251" s="1"/>
  <c r="BE251" s="1"/>
  <c r="F260"/>
  <c r="BC248"/>
  <c r="F212"/>
  <c r="F196"/>
  <c r="F295"/>
  <c r="E295" s="1"/>
  <c r="BE295" s="1"/>
  <c r="BC255"/>
  <c r="BC217"/>
  <c r="BC223"/>
  <c r="BC172"/>
  <c r="F152"/>
  <c r="F144"/>
  <c r="F136"/>
  <c r="F128"/>
  <c r="F120"/>
  <c r="BC196"/>
  <c r="BJ172"/>
  <c r="BJ196"/>
  <c r="BJ155"/>
  <c r="BJ118"/>
  <c r="BJ133"/>
  <c r="H128"/>
  <c r="BC163"/>
  <c r="BC126"/>
  <c r="BJ121"/>
  <c r="S121" s="1"/>
  <c r="H101"/>
  <c r="H85"/>
  <c r="H73"/>
  <c r="BJ105"/>
  <c r="S105" s="1"/>
  <c r="BJ77"/>
  <c r="BJ103"/>
  <c r="S103" s="1"/>
  <c r="BJ93"/>
  <c r="H45"/>
  <c r="F36"/>
  <c r="BJ116"/>
  <c r="BJ89"/>
  <c r="BJ67"/>
  <c r="BJ114"/>
  <c r="BJ88"/>
  <c r="BJ69"/>
  <c r="H54"/>
  <c r="H44"/>
  <c r="BJ81"/>
  <c r="BJ86"/>
  <c r="BJ54"/>
  <c r="BJ34"/>
  <c r="BJ51"/>
  <c r="F257"/>
  <c r="E257" s="1"/>
  <c r="BE257" s="1"/>
  <c r="F249"/>
  <c r="E249" s="1"/>
  <c r="BE249" s="1"/>
  <c r="F241"/>
  <c r="E241" s="1"/>
  <c r="BE241" s="1"/>
  <c r="F226"/>
  <c r="F210"/>
  <c r="BC246"/>
  <c r="BC251"/>
  <c r="BC211"/>
  <c r="BC230"/>
  <c r="BC168"/>
  <c r="F155"/>
  <c r="E155" s="1"/>
  <c r="BE155" s="1"/>
  <c r="F147"/>
  <c r="E147" s="1"/>
  <c r="BE147" s="1"/>
  <c r="F93"/>
  <c r="E93" s="1"/>
  <c r="BE93" s="1"/>
  <c r="BJ157"/>
  <c r="H122"/>
  <c r="BJ151"/>
  <c r="H99"/>
  <c r="H83"/>
  <c r="BJ100"/>
  <c r="H58"/>
  <c r="H42"/>
  <c r="BB89"/>
  <c r="BC89" s="1"/>
  <c r="BJ108"/>
  <c r="H116"/>
  <c r="BJ98"/>
  <c r="F38"/>
  <c r="BJ107"/>
  <c r="F66"/>
  <c r="H32"/>
  <c r="BJ111"/>
  <c r="BJ80"/>
  <c r="BJ72"/>
  <c r="BJ32"/>
  <c r="BJ49"/>
  <c r="BJ47"/>
  <c r="BJ35"/>
  <c r="BC252"/>
  <c r="BB69"/>
  <c r="BC69" s="1"/>
  <c r="BC259"/>
  <c r="BC244"/>
  <c r="BC262"/>
  <c r="F279"/>
  <c r="E279" s="1"/>
  <c r="BE279" s="1"/>
  <c r="F265"/>
  <c r="E265" s="1"/>
  <c r="BE265" s="1"/>
  <c r="F224"/>
  <c r="F208"/>
  <c r="BC247"/>
  <c r="BC215"/>
  <c r="F160"/>
  <c r="BC170"/>
  <c r="BJ153"/>
  <c r="H118"/>
  <c r="BJ152"/>
  <c r="BJ146"/>
  <c r="H113"/>
  <c r="H97"/>
  <c r="H81"/>
  <c r="S81" s="1"/>
  <c r="BJ71"/>
  <c r="H115"/>
  <c r="BJ92"/>
  <c r="H56"/>
  <c r="BJ117"/>
  <c r="BJ85"/>
  <c r="BJ74"/>
  <c r="F54"/>
  <c r="BJ83"/>
  <c r="BJ62"/>
  <c r="H52"/>
  <c r="BB108"/>
  <c r="BC108" s="1"/>
  <c r="BJ45"/>
  <c r="BJ55"/>
  <c r="BJ48"/>
  <c r="BJ53"/>
  <c r="BC199"/>
  <c r="F46"/>
  <c r="F297"/>
  <c r="E297" s="1"/>
  <c r="BE297" s="1"/>
  <c r="F281"/>
  <c r="E281" s="1"/>
  <c r="BE281" s="1"/>
  <c r="F255"/>
  <c r="E255" s="1"/>
  <c r="BE255" s="1"/>
  <c r="F247"/>
  <c r="E247" s="1"/>
  <c r="BE247" s="1"/>
  <c r="F239"/>
  <c r="E239" s="1"/>
  <c r="BE239" s="1"/>
  <c r="F222"/>
  <c r="BC242"/>
  <c r="BC243"/>
  <c r="F191"/>
  <c r="E191" s="1"/>
  <c r="BE191" s="1"/>
  <c r="F175"/>
  <c r="E175" s="1"/>
  <c r="BE175" s="1"/>
  <c r="F167"/>
  <c r="E167" s="1"/>
  <c r="BE167" s="1"/>
  <c r="BC190"/>
  <c r="F199"/>
  <c r="E199" s="1"/>
  <c r="BE199" s="1"/>
  <c r="F153"/>
  <c r="E153" s="1"/>
  <c r="BE153" s="1"/>
  <c r="F180"/>
  <c r="F89"/>
  <c r="E89" s="1"/>
  <c r="BE89" s="1"/>
  <c r="F104"/>
  <c r="H111"/>
  <c r="H95"/>
  <c r="H69"/>
  <c r="BJ95"/>
  <c r="BJ70"/>
  <c r="BB112"/>
  <c r="BC112" s="1"/>
  <c r="BJ84"/>
  <c r="H38"/>
  <c r="BJ78"/>
  <c r="H117"/>
  <c r="H33"/>
  <c r="BJ97"/>
  <c r="BJ61"/>
  <c r="H40"/>
  <c r="BJ44"/>
  <c r="BJ46"/>
  <c r="BJ33"/>
  <c r="BJ52"/>
  <c r="F237"/>
  <c r="E237" s="1"/>
  <c r="BE237" s="1"/>
  <c r="BC256"/>
  <c r="BC240"/>
  <c r="BC236"/>
  <c r="BC253"/>
  <c r="BC238"/>
  <c r="F201"/>
  <c r="E201" s="1"/>
  <c r="BE201" s="1"/>
  <c r="F163"/>
  <c r="E163" s="1"/>
  <c r="BE163" s="1"/>
  <c r="F221"/>
  <c r="E221" s="1"/>
  <c r="BE221" s="1"/>
  <c r="F156"/>
  <c r="F140"/>
  <c r="BC164"/>
  <c r="BC194"/>
  <c r="BC166"/>
  <c r="F78"/>
  <c r="BJ164"/>
  <c r="H109"/>
  <c r="S109" s="1"/>
  <c r="H93"/>
  <c r="BJ79"/>
  <c r="BJ156"/>
  <c r="BJ109"/>
  <c r="BB80"/>
  <c r="BC80" s="1"/>
  <c r="BB72"/>
  <c r="BC72" s="1"/>
  <c r="BB66"/>
  <c r="BC66" s="1"/>
  <c r="H41"/>
  <c r="F32"/>
  <c r="BB28"/>
  <c r="BJ90"/>
  <c r="BJ113"/>
  <c r="BJ99"/>
  <c r="BJ303"/>
  <c r="BJ301"/>
  <c r="BJ299"/>
  <c r="BJ297"/>
  <c r="BJ295"/>
  <c r="BJ293"/>
  <c r="BJ291"/>
  <c r="BJ289"/>
  <c r="BJ287"/>
  <c r="BJ285"/>
  <c r="BJ283"/>
  <c r="BJ281"/>
  <c r="BJ279"/>
  <c r="BJ277"/>
  <c r="BJ275"/>
  <c r="H303"/>
  <c r="H301"/>
  <c r="H299"/>
  <c r="H297"/>
  <c r="H295"/>
  <c r="H293"/>
  <c r="H291"/>
  <c r="H289"/>
  <c r="H287"/>
  <c r="H285"/>
  <c r="H283"/>
  <c r="H281"/>
  <c r="H279"/>
  <c r="H277"/>
  <c r="H275"/>
  <c r="BJ304"/>
  <c r="BJ302"/>
  <c r="BJ300"/>
  <c r="BJ298"/>
  <c r="BJ296"/>
  <c r="BJ294"/>
  <c r="BJ292"/>
  <c r="BJ290"/>
  <c r="BJ288"/>
  <c r="BJ286"/>
  <c r="BJ284"/>
  <c r="BJ282"/>
  <c r="BJ280"/>
  <c r="BJ278"/>
  <c r="BJ276"/>
  <c r="BJ274"/>
  <c r="BJ272"/>
  <c r="H294"/>
  <c r="H278"/>
  <c r="H271"/>
  <c r="H296"/>
  <c r="H280"/>
  <c r="H298"/>
  <c r="H282"/>
  <c r="H300"/>
  <c r="H284"/>
  <c r="H304"/>
  <c r="H302"/>
  <c r="H286"/>
  <c r="H288"/>
  <c r="H268"/>
  <c r="H292"/>
  <c r="H276"/>
  <c r="H273"/>
  <c r="H272"/>
  <c r="H269"/>
  <c r="BJ265"/>
  <c r="H290"/>
  <c r="BJ267"/>
  <c r="BJ227"/>
  <c r="H227"/>
  <c r="H225"/>
  <c r="H223"/>
  <c r="H221"/>
  <c r="H219"/>
  <c r="H217"/>
  <c r="H215"/>
  <c r="H213"/>
  <c r="H211"/>
  <c r="H209"/>
  <c r="H207"/>
  <c r="H205"/>
  <c r="BJ232"/>
  <c r="H274"/>
  <c r="H270"/>
  <c r="H266"/>
  <c r="BJ239"/>
  <c r="BJ234"/>
  <c r="H224"/>
  <c r="H212"/>
  <c r="H206"/>
  <c r="H202"/>
  <c r="H222"/>
  <c r="H216"/>
  <c r="H201"/>
  <c r="H199"/>
  <c r="H210"/>
  <c r="H196"/>
  <c r="H220"/>
  <c r="H204"/>
  <c r="H197"/>
  <c r="H231"/>
  <c r="H214"/>
  <c r="H203"/>
  <c r="H195"/>
  <c r="H193"/>
  <c r="H191"/>
  <c r="H189"/>
  <c r="H187"/>
  <c r="H185"/>
  <c r="H183"/>
  <c r="H181"/>
  <c r="H179"/>
  <c r="H177"/>
  <c r="H175"/>
  <c r="H173"/>
  <c r="H226"/>
  <c r="H208"/>
  <c r="H162"/>
  <c r="H161"/>
  <c r="H169"/>
  <c r="H229"/>
  <c r="H165"/>
  <c r="H163"/>
  <c r="H218"/>
  <c r="H171"/>
  <c r="H167"/>
  <c r="BJ162"/>
  <c r="H145"/>
  <c r="H129"/>
  <c r="S129" s="1"/>
  <c r="H155"/>
  <c r="H139"/>
  <c r="S139" s="1"/>
  <c r="BJ119"/>
  <c r="S119" s="1"/>
  <c r="BJ115"/>
  <c r="H80"/>
  <c r="H76"/>
  <c r="H74"/>
  <c r="H68"/>
  <c r="H159"/>
  <c r="H149"/>
  <c r="S149" s="1"/>
  <c r="H133"/>
  <c r="BJ122"/>
  <c r="H79"/>
  <c r="H75"/>
  <c r="H71"/>
  <c r="H143"/>
  <c r="S143" s="1"/>
  <c r="BJ123"/>
  <c r="H114"/>
  <c r="H112"/>
  <c r="H110"/>
  <c r="H108"/>
  <c r="H106"/>
  <c r="H153"/>
  <c r="H137"/>
  <c r="S137" s="1"/>
  <c r="H125"/>
  <c r="S125" s="1"/>
  <c r="H147"/>
  <c r="H131"/>
  <c r="S131" s="1"/>
  <c r="BJ120"/>
  <c r="H78"/>
  <c r="H72"/>
  <c r="H70"/>
  <c r="H66"/>
  <c r="H157"/>
  <c r="H141"/>
  <c r="H127"/>
  <c r="S127" s="1"/>
  <c r="H102"/>
  <c r="H94"/>
  <c r="H86"/>
  <c r="H96"/>
  <c r="H59"/>
  <c r="H51"/>
  <c r="H47"/>
  <c r="H135"/>
  <c r="H100"/>
  <c r="H92"/>
  <c r="H84"/>
  <c r="H57"/>
  <c r="S57" s="1"/>
  <c r="H53"/>
  <c r="H30"/>
  <c r="H28"/>
  <c r="H88"/>
  <c r="H29"/>
  <c r="BJ124"/>
  <c r="H35"/>
  <c r="H123"/>
  <c r="H98"/>
  <c r="H90"/>
  <c r="H82"/>
  <c r="H151"/>
  <c r="H67"/>
  <c r="H62"/>
  <c r="H55"/>
  <c r="H39"/>
  <c r="H104"/>
  <c r="H60"/>
  <c r="H43"/>
  <c r="S43" s="1"/>
  <c r="H31"/>
  <c r="BJ60"/>
  <c r="BJ140"/>
  <c r="BJ102"/>
  <c r="BJ68"/>
  <c r="BJ42"/>
  <c r="H61"/>
  <c r="BJ50"/>
  <c r="BJ58"/>
  <c r="BC245"/>
  <c r="BC231"/>
  <c r="F253"/>
  <c r="E253" s="1"/>
  <c r="BE253" s="1"/>
  <c r="F235"/>
  <c r="E235" s="1"/>
  <c r="BE235" s="1"/>
  <c r="BC249"/>
  <c r="F218"/>
  <c r="F202"/>
  <c r="BC254"/>
  <c r="F189"/>
  <c r="E189" s="1"/>
  <c r="BE189" s="1"/>
  <c r="F181"/>
  <c r="E181" s="1"/>
  <c r="BE181" s="1"/>
  <c r="F173"/>
  <c r="E173" s="1"/>
  <c r="BE173" s="1"/>
  <c r="BC221"/>
  <c r="BC174"/>
  <c r="BC188"/>
  <c r="F215"/>
  <c r="E215" s="1"/>
  <c r="BE215" s="1"/>
  <c r="BC182"/>
  <c r="BC180"/>
  <c r="F161"/>
  <c r="E161" s="1"/>
  <c r="BE161" s="1"/>
  <c r="F101"/>
  <c r="E101" s="1"/>
  <c r="BE101" s="1"/>
  <c r="BB120"/>
  <c r="BC120" s="1"/>
  <c r="BJ141"/>
  <c r="BJ135"/>
  <c r="H107"/>
  <c r="H91"/>
  <c r="H77"/>
  <c r="H63"/>
  <c r="BJ87"/>
  <c r="S87" s="1"/>
  <c r="H50"/>
  <c r="H34"/>
  <c r="BJ145"/>
  <c r="BB106"/>
  <c r="BC106" s="1"/>
  <c r="H49"/>
  <c r="BJ96"/>
  <c r="H48"/>
  <c r="BJ129"/>
  <c r="BJ66"/>
  <c r="F50"/>
  <c r="BJ39"/>
  <c r="BJ59"/>
  <c r="BJ40"/>
  <c r="BJ56"/>
  <c r="S41" l="1"/>
  <c r="AQ41" s="1"/>
  <c r="S37"/>
  <c r="AE37" s="1"/>
  <c r="S29"/>
  <c r="Y29" s="1"/>
  <c r="S31"/>
  <c r="AE31" s="1"/>
  <c r="S63"/>
  <c r="G63" s="1"/>
  <c r="S47"/>
  <c r="Y47" s="1"/>
  <c r="S35"/>
  <c r="AX35" s="1"/>
  <c r="BC28"/>
  <c r="AS41"/>
  <c r="S42"/>
  <c r="J13"/>
  <c r="J178" i="65" s="1"/>
  <c r="S53" i="116"/>
  <c r="AE53" s="1"/>
  <c r="S59"/>
  <c r="AE57"/>
  <c r="AG57"/>
  <c r="Y57"/>
  <c r="AS47"/>
  <c r="S49"/>
  <c r="AW49" s="1"/>
  <c r="S99"/>
  <c r="AV99" s="1"/>
  <c r="S83"/>
  <c r="AY83" s="1"/>
  <c r="S111"/>
  <c r="AX111" s="1"/>
  <c r="J15"/>
  <c r="J179" i="65" s="1"/>
  <c r="J19" i="116"/>
  <c r="J12"/>
  <c r="J177" i="65" s="1"/>
  <c r="J17" i="116"/>
  <c r="AG131"/>
  <c r="AE131"/>
  <c r="Y131"/>
  <c r="AS127"/>
  <c r="AQ127"/>
  <c r="AS125"/>
  <c r="AQ125"/>
  <c r="AG121"/>
  <c r="AE121"/>
  <c r="Y121"/>
  <c r="AG119"/>
  <c r="AE119"/>
  <c r="Y119"/>
  <c r="Y111"/>
  <c r="AG111"/>
  <c r="AE111"/>
  <c r="Y105"/>
  <c r="AE105"/>
  <c r="AG105"/>
  <c r="Y103"/>
  <c r="AG103"/>
  <c r="AE103"/>
  <c r="Y99"/>
  <c r="AG99"/>
  <c r="AE99"/>
  <c r="AS87"/>
  <c r="AQ87"/>
  <c r="Y83"/>
  <c r="AG83"/>
  <c r="AE83"/>
  <c r="Y81"/>
  <c r="AG81"/>
  <c r="AE81"/>
  <c r="AS57"/>
  <c r="AG43"/>
  <c r="AE43"/>
  <c r="Y43"/>
  <c r="AE41"/>
  <c r="Y41"/>
  <c r="AG41"/>
  <c r="S75"/>
  <c r="S95"/>
  <c r="G95" s="1"/>
  <c r="S91"/>
  <c r="AX91" s="1"/>
  <c r="S67"/>
  <c r="AZ67" s="1"/>
  <c r="S85"/>
  <c r="AV85" s="1"/>
  <c r="S77"/>
  <c r="AW77" s="1"/>
  <c r="S107"/>
  <c r="AX107" s="1"/>
  <c r="S79"/>
  <c r="S55"/>
  <c r="G55" s="1"/>
  <c r="AZ121"/>
  <c r="AW121"/>
  <c r="G121"/>
  <c r="AV121"/>
  <c r="AY121"/>
  <c r="AU121"/>
  <c r="AX121"/>
  <c r="AZ119"/>
  <c r="G119"/>
  <c r="AW119"/>
  <c r="AY119"/>
  <c r="AU119"/>
  <c r="AV119"/>
  <c r="AX119"/>
  <c r="S115"/>
  <c r="AZ127"/>
  <c r="G127"/>
  <c r="AY127"/>
  <c r="AU127"/>
  <c r="AX127"/>
  <c r="AW127"/>
  <c r="AV127"/>
  <c r="AZ125"/>
  <c r="G125"/>
  <c r="AW125"/>
  <c r="AX125"/>
  <c r="AU125"/>
  <c r="AV125"/>
  <c r="AY125"/>
  <c r="S123"/>
  <c r="S113"/>
  <c r="S117"/>
  <c r="AV117" s="1"/>
  <c r="AY105"/>
  <c r="G105"/>
  <c r="AV105"/>
  <c r="AW105"/>
  <c r="AZ105"/>
  <c r="AX105"/>
  <c r="AU105"/>
  <c r="G99"/>
  <c r="AY87"/>
  <c r="G87"/>
  <c r="AZ87"/>
  <c r="AX87"/>
  <c r="AW87"/>
  <c r="AV87"/>
  <c r="AU87"/>
  <c r="AY103"/>
  <c r="AZ103"/>
  <c r="G103"/>
  <c r="AU103"/>
  <c r="AX103"/>
  <c r="AW103"/>
  <c r="AV103"/>
  <c r="S39"/>
  <c r="AY57"/>
  <c r="AW57"/>
  <c r="G57"/>
  <c r="AZ57"/>
  <c r="AU57"/>
  <c r="AV57"/>
  <c r="AX57"/>
  <c r="S71"/>
  <c r="S145"/>
  <c r="AX41"/>
  <c r="AY109"/>
  <c r="G109"/>
  <c r="AZ109"/>
  <c r="AW109"/>
  <c r="AX109"/>
  <c r="AU109"/>
  <c r="AV109"/>
  <c r="AY29"/>
  <c r="G29"/>
  <c r="AX29"/>
  <c r="AZ29"/>
  <c r="AY81"/>
  <c r="G81"/>
  <c r="AZ81"/>
  <c r="AU81"/>
  <c r="AW81"/>
  <c r="AX81"/>
  <c r="AV81"/>
  <c r="S45"/>
  <c r="G77"/>
  <c r="AX31"/>
  <c r="S151"/>
  <c r="S135"/>
  <c r="AZ131"/>
  <c r="AX131"/>
  <c r="AW131"/>
  <c r="G131"/>
  <c r="AU131"/>
  <c r="AY131"/>
  <c r="AV131"/>
  <c r="S133"/>
  <c r="G111"/>
  <c r="S61"/>
  <c r="AY43"/>
  <c r="G43"/>
  <c r="AZ43"/>
  <c r="AW43"/>
  <c r="AX43"/>
  <c r="AV43"/>
  <c r="AU43"/>
  <c r="S141"/>
  <c r="AZ149"/>
  <c r="AX149"/>
  <c r="AW149"/>
  <c r="G149"/>
  <c r="AV149"/>
  <c r="AU149"/>
  <c r="AY149"/>
  <c r="AZ139"/>
  <c r="AX139"/>
  <c r="AW139"/>
  <c r="G139"/>
  <c r="AU139"/>
  <c r="AV139"/>
  <c r="AY139"/>
  <c r="S33"/>
  <c r="S51"/>
  <c r="AY53"/>
  <c r="AZ137"/>
  <c r="AX137"/>
  <c r="AW137"/>
  <c r="G137"/>
  <c r="AU137"/>
  <c r="AY137"/>
  <c r="AV137"/>
  <c r="AZ143"/>
  <c r="AX143"/>
  <c r="AW143"/>
  <c r="G143"/>
  <c r="AY143"/>
  <c r="AV143"/>
  <c r="AU143"/>
  <c r="AZ129"/>
  <c r="AX129"/>
  <c r="AW129"/>
  <c r="G129"/>
  <c r="AY129"/>
  <c r="AV129"/>
  <c r="AU129"/>
  <c r="G83"/>
  <c r="AW83"/>
  <c r="G37"/>
  <c r="AU83" l="1"/>
  <c r="AU31"/>
  <c r="AY31"/>
  <c r="AX83"/>
  <c r="AZ31"/>
  <c r="G31"/>
  <c r="Y31"/>
  <c r="AV83"/>
  <c r="AZ83"/>
  <c r="AZ53"/>
  <c r="AW31"/>
  <c r="AY37"/>
  <c r="AW47"/>
  <c r="AW41"/>
  <c r="AV41"/>
  <c r="G41"/>
  <c r="AU41"/>
  <c r="AV37"/>
  <c r="F37" s="1"/>
  <c r="E37" s="1"/>
  <c r="AU37"/>
  <c r="AU47"/>
  <c r="AY41"/>
  <c r="AZ41"/>
  <c r="Y37"/>
  <c r="AZ37"/>
  <c r="AX37"/>
  <c r="AG37"/>
  <c r="AW37"/>
  <c r="G47"/>
  <c r="AE47"/>
  <c r="AE29"/>
  <c r="Y35"/>
  <c r="AY47"/>
  <c r="AG47"/>
  <c r="AW35"/>
  <c r="AV47"/>
  <c r="F47" s="1"/>
  <c r="AZ111"/>
  <c r="AZ35"/>
  <c r="AX47"/>
  <c r="AY111"/>
  <c r="AY35"/>
  <c r="AZ47"/>
  <c r="AY95"/>
  <c r="AG31"/>
  <c r="AV29"/>
  <c r="AU35"/>
  <c r="AV31"/>
  <c r="F31" s="1"/>
  <c r="E31" s="1"/>
  <c r="AU29"/>
  <c r="G35"/>
  <c r="AG35"/>
  <c r="AE35"/>
  <c r="AV35"/>
  <c r="AG29"/>
  <c r="AW29"/>
  <c r="AX63"/>
  <c r="AW63"/>
  <c r="AW111"/>
  <c r="AZ95"/>
  <c r="AS63"/>
  <c r="AZ49"/>
  <c r="AU49"/>
  <c r="AW95"/>
  <c r="AY63"/>
  <c r="AV95"/>
  <c r="AV63"/>
  <c r="AU63"/>
  <c r="AZ63"/>
  <c r="AQ63"/>
  <c r="J181" i="65"/>
  <c r="AX99" i="116"/>
  <c r="AY99"/>
  <c r="AV111"/>
  <c r="AS59"/>
  <c r="AQ59"/>
  <c r="G53"/>
  <c r="AW53"/>
  <c r="AU53"/>
  <c r="AV53"/>
  <c r="F53" s="1"/>
  <c r="AX53"/>
  <c r="AV49"/>
  <c r="G49"/>
  <c r="AG49"/>
  <c r="AV42"/>
  <c r="AW42"/>
  <c r="AU42"/>
  <c r="AX42"/>
  <c r="AY42"/>
  <c r="AZ42"/>
  <c r="Y53"/>
  <c r="AX77"/>
  <c r="AG53"/>
  <c r="AY59"/>
  <c r="G59"/>
  <c r="Y59"/>
  <c r="AX59"/>
  <c r="AW59"/>
  <c r="AE59"/>
  <c r="AZ59"/>
  <c r="AU59"/>
  <c r="AG59"/>
  <c r="AV59"/>
  <c r="AZ55"/>
  <c r="AG55"/>
  <c r="AE55"/>
  <c r="Y55"/>
  <c r="AY75"/>
  <c r="AS75"/>
  <c r="AQ75"/>
  <c r="AY79"/>
  <c r="AS79"/>
  <c r="AQ79"/>
  <c r="Y61"/>
  <c r="AG61"/>
  <c r="AE61"/>
  <c r="AX55"/>
  <c r="AV67"/>
  <c r="AG67"/>
  <c r="AE67"/>
  <c r="Y67"/>
  <c r="AS45"/>
  <c r="AY55"/>
  <c r="AY77"/>
  <c r="AZ99"/>
  <c r="AU99"/>
  <c r="AW99"/>
  <c r="AZ77"/>
  <c r="AW55"/>
  <c r="F35"/>
  <c r="AY49"/>
  <c r="AU77"/>
  <c r="AX49"/>
  <c r="AV77"/>
  <c r="AU111"/>
  <c r="AG133"/>
  <c r="AE133"/>
  <c r="Y133"/>
  <c r="Y123"/>
  <c r="AG123"/>
  <c r="AE123"/>
  <c r="AS123"/>
  <c r="AQ123"/>
  <c r="AG117"/>
  <c r="AE117"/>
  <c r="Y117"/>
  <c r="Y115"/>
  <c r="AG115"/>
  <c r="AE115"/>
  <c r="AG113"/>
  <c r="AE113"/>
  <c r="Y113"/>
  <c r="AS107"/>
  <c r="AV107"/>
  <c r="AW107"/>
  <c r="AZ107"/>
  <c r="G107"/>
  <c r="AU107"/>
  <c r="AY107"/>
  <c r="AX95"/>
  <c r="AU95"/>
  <c r="AS95"/>
  <c r="AQ95"/>
  <c r="AU91"/>
  <c r="AV91"/>
  <c r="AZ91"/>
  <c r="G91"/>
  <c r="AY91"/>
  <c r="AQ91"/>
  <c r="AS91"/>
  <c r="AW91"/>
  <c r="AZ85"/>
  <c r="AY85"/>
  <c r="G85"/>
  <c r="AX85"/>
  <c r="AU85"/>
  <c r="AW85"/>
  <c r="AG85"/>
  <c r="AE85"/>
  <c r="Y85"/>
  <c r="AZ79"/>
  <c r="AG79"/>
  <c r="AE79"/>
  <c r="Y79"/>
  <c r="AV79"/>
  <c r="AU79"/>
  <c r="Y77"/>
  <c r="AG77"/>
  <c r="AE77"/>
  <c r="Y75"/>
  <c r="AG75"/>
  <c r="AE75"/>
  <c r="AW75"/>
  <c r="AV75"/>
  <c r="G75"/>
  <c r="AX75"/>
  <c r="AZ75"/>
  <c r="AU75"/>
  <c r="AG71"/>
  <c r="AE71"/>
  <c r="Y71"/>
  <c r="AW67"/>
  <c r="G67"/>
  <c r="AY67"/>
  <c r="AS67"/>
  <c r="AX67"/>
  <c r="AU67"/>
  <c r="AS61"/>
  <c r="AU55"/>
  <c r="AV55"/>
  <c r="AG51"/>
  <c r="AG45"/>
  <c r="Y39"/>
  <c r="AG39"/>
  <c r="AE39"/>
  <c r="Y33"/>
  <c r="AE33"/>
  <c r="AG33"/>
  <c r="G79"/>
  <c r="AW79"/>
  <c r="AX79"/>
  <c r="AY113"/>
  <c r="G113"/>
  <c r="AU113"/>
  <c r="AV113"/>
  <c r="AW113"/>
  <c r="AX113"/>
  <c r="AZ113"/>
  <c r="AV115"/>
  <c r="G115"/>
  <c r="AZ115"/>
  <c r="AX115"/>
  <c r="AY115"/>
  <c r="AU115"/>
  <c r="AW115"/>
  <c r="AZ123"/>
  <c r="AW123"/>
  <c r="G123"/>
  <c r="AX123"/>
  <c r="AV123"/>
  <c r="AY123"/>
  <c r="AU123"/>
  <c r="F127"/>
  <c r="E127" s="1"/>
  <c r="AZ117"/>
  <c r="G117"/>
  <c r="AW117"/>
  <c r="AY117"/>
  <c r="AX117"/>
  <c r="AU117"/>
  <c r="F119"/>
  <c r="E119" s="1"/>
  <c r="F125"/>
  <c r="E125" s="1"/>
  <c r="F121"/>
  <c r="E121" s="1"/>
  <c r="F105"/>
  <c r="E105" s="1"/>
  <c r="F137"/>
  <c r="E137" s="1"/>
  <c r="BE137" s="1"/>
  <c r="F143"/>
  <c r="E143" s="1"/>
  <c r="BE143" s="1"/>
  <c r="AZ145"/>
  <c r="AX145"/>
  <c r="AW145"/>
  <c r="G145"/>
  <c r="AY145"/>
  <c r="AV145"/>
  <c r="AU145"/>
  <c r="AV71"/>
  <c r="G71"/>
  <c r="AX71"/>
  <c r="AW71"/>
  <c r="AZ71"/>
  <c r="AU71"/>
  <c r="AY71"/>
  <c r="AY39"/>
  <c r="G39"/>
  <c r="AV39"/>
  <c r="AU39"/>
  <c r="AX39"/>
  <c r="AZ39"/>
  <c r="AW39"/>
  <c r="F103"/>
  <c r="E103" s="1"/>
  <c r="F87"/>
  <c r="E87" s="1"/>
  <c r="F139"/>
  <c r="E139" s="1"/>
  <c r="BE139" s="1"/>
  <c r="F129"/>
  <c r="E129" s="1"/>
  <c r="BE129" s="1"/>
  <c r="AU45"/>
  <c r="G45"/>
  <c r="AZ45"/>
  <c r="AW45"/>
  <c r="AV45"/>
  <c r="AX45"/>
  <c r="AY45"/>
  <c r="AZ61"/>
  <c r="AV61"/>
  <c r="G61"/>
  <c r="AY61"/>
  <c r="AW61"/>
  <c r="AX61"/>
  <c r="AU61"/>
  <c r="F131"/>
  <c r="E131" s="1"/>
  <c r="AZ151"/>
  <c r="AX151"/>
  <c r="AW151"/>
  <c r="G151"/>
  <c r="AY151"/>
  <c r="AV151"/>
  <c r="AU151"/>
  <c r="F81"/>
  <c r="E81" s="1"/>
  <c r="F57"/>
  <c r="E57" s="1"/>
  <c r="F149"/>
  <c r="E149" s="1"/>
  <c r="BE149" s="1"/>
  <c r="AZ133"/>
  <c r="AX133"/>
  <c r="AW133"/>
  <c r="G133"/>
  <c r="AV133"/>
  <c r="AU133"/>
  <c r="AY133"/>
  <c r="AY51"/>
  <c r="G51"/>
  <c r="AV51"/>
  <c r="AZ51"/>
  <c r="AU51"/>
  <c r="AW51"/>
  <c r="AX51"/>
  <c r="AZ141"/>
  <c r="AX141"/>
  <c r="AW141"/>
  <c r="G141"/>
  <c r="AV141"/>
  <c r="AU141"/>
  <c r="AY141"/>
  <c r="AZ135"/>
  <c r="AX135"/>
  <c r="AW135"/>
  <c r="G135"/>
  <c r="AY135"/>
  <c r="AV135"/>
  <c r="AU135"/>
  <c r="AZ33"/>
  <c r="AW33"/>
  <c r="G33"/>
  <c r="AV33"/>
  <c r="AX33"/>
  <c r="AU33"/>
  <c r="AY33"/>
  <c r="F43"/>
  <c r="E43" s="1"/>
  <c r="F109"/>
  <c r="E109" s="1"/>
  <c r="BE109" s="1"/>
  <c r="F83" l="1"/>
  <c r="E83" s="1"/>
  <c r="BE83" s="1"/>
  <c r="AZ305"/>
  <c r="AY305"/>
  <c r="AX305"/>
  <c r="F29"/>
  <c r="E29" s="1"/>
  <c r="BM29" s="1"/>
  <c r="AV305"/>
  <c r="J119" i="65" s="1"/>
  <c r="AU305" i="116"/>
  <c r="AG305"/>
  <c r="AW305"/>
  <c r="E47"/>
  <c r="BE47" s="1"/>
  <c r="F41"/>
  <c r="E41" s="1"/>
  <c r="AM41" s="1"/>
  <c r="E35"/>
  <c r="W35" s="1"/>
  <c r="F63"/>
  <c r="E63" s="1"/>
  <c r="BG63" s="1"/>
  <c r="F95"/>
  <c r="E95" s="1"/>
  <c r="AO95" s="1"/>
  <c r="F111"/>
  <c r="E111" s="1"/>
  <c r="BE111" s="1"/>
  <c r="F99"/>
  <c r="E99" s="1"/>
  <c r="BE99" s="1"/>
  <c r="E53"/>
  <c r="AC53" s="1"/>
  <c r="F49"/>
  <c r="E49" s="1"/>
  <c r="BE49" s="1"/>
  <c r="F42"/>
  <c r="F59"/>
  <c r="E59" s="1"/>
  <c r="U57"/>
  <c r="W57"/>
  <c r="AC57"/>
  <c r="AA57"/>
  <c r="AI47"/>
  <c r="AQ47"/>
  <c r="AK47"/>
  <c r="AO47"/>
  <c r="AM47"/>
  <c r="BG53"/>
  <c r="F55"/>
  <c r="E55" s="1"/>
  <c r="BE55" s="1"/>
  <c r="BG47"/>
  <c r="BH47"/>
  <c r="F75"/>
  <c r="E75" s="1"/>
  <c r="BE75" s="1"/>
  <c r="F85"/>
  <c r="E85" s="1"/>
  <c r="BE85" s="1"/>
  <c r="F77"/>
  <c r="E77" s="1"/>
  <c r="BE77" s="1"/>
  <c r="F79"/>
  <c r="E79" s="1"/>
  <c r="F91"/>
  <c r="E91" s="1"/>
  <c r="BE91" s="1"/>
  <c r="F67"/>
  <c r="E67" s="1"/>
  <c r="BE67" s="1"/>
  <c r="F107"/>
  <c r="E107" s="1"/>
  <c r="AK107" s="1"/>
  <c r="BE131"/>
  <c r="BM131"/>
  <c r="W131"/>
  <c r="U131"/>
  <c r="AC131"/>
  <c r="AA131"/>
  <c r="BE127"/>
  <c r="BM127"/>
  <c r="BH127"/>
  <c r="BG127"/>
  <c r="AO127"/>
  <c r="AM127"/>
  <c r="AK127"/>
  <c r="AI127"/>
  <c r="BE125"/>
  <c r="BM125"/>
  <c r="BH125"/>
  <c r="BG125"/>
  <c r="AM125"/>
  <c r="AO125"/>
  <c r="AK125"/>
  <c r="AI125"/>
  <c r="BE121"/>
  <c r="BM121"/>
  <c r="U121"/>
  <c r="AC121"/>
  <c r="W121"/>
  <c r="AA121"/>
  <c r="BE119"/>
  <c r="BM119"/>
  <c r="AC119"/>
  <c r="AA119"/>
  <c r="W119"/>
  <c r="U119"/>
  <c r="BM111"/>
  <c r="W111"/>
  <c r="U111"/>
  <c r="AC111"/>
  <c r="AA111"/>
  <c r="BE105"/>
  <c r="BM105"/>
  <c r="AC105"/>
  <c r="W105"/>
  <c r="AA105"/>
  <c r="U105"/>
  <c r="BE103"/>
  <c r="BM103"/>
  <c r="W103"/>
  <c r="U103"/>
  <c r="AC103"/>
  <c r="AA103"/>
  <c r="BM99"/>
  <c r="W99"/>
  <c r="AA99"/>
  <c r="U99"/>
  <c r="AC99"/>
  <c r="AI95"/>
  <c r="AM95"/>
  <c r="AK95"/>
  <c r="BM95"/>
  <c r="BH95"/>
  <c r="BG95"/>
  <c r="BH91"/>
  <c r="BG91"/>
  <c r="BM91"/>
  <c r="AO91"/>
  <c r="AM91"/>
  <c r="AK91"/>
  <c r="AI91"/>
  <c r="BE87"/>
  <c r="BG87"/>
  <c r="BM87"/>
  <c r="BH87"/>
  <c r="AM87"/>
  <c r="AK87"/>
  <c r="AI87"/>
  <c r="AO87"/>
  <c r="BM85"/>
  <c r="U85"/>
  <c r="W85"/>
  <c r="AA85"/>
  <c r="AC85"/>
  <c r="BM83"/>
  <c r="U83"/>
  <c r="W83"/>
  <c r="AA83"/>
  <c r="AC83"/>
  <c r="BE81"/>
  <c r="BM81"/>
  <c r="AA81"/>
  <c r="W81"/>
  <c r="U81"/>
  <c r="AC81"/>
  <c r="W79"/>
  <c r="AA79"/>
  <c r="U79"/>
  <c r="BM77"/>
  <c r="U77"/>
  <c r="W77"/>
  <c r="AC77"/>
  <c r="AA77"/>
  <c r="U75"/>
  <c r="AA75"/>
  <c r="BH67"/>
  <c r="BG67"/>
  <c r="AK67"/>
  <c r="AM67"/>
  <c r="AO67"/>
  <c r="BE57"/>
  <c r="BG57"/>
  <c r="BM57"/>
  <c r="BH57"/>
  <c r="AI57"/>
  <c r="AQ57"/>
  <c r="AM57"/>
  <c r="AO57"/>
  <c r="AK57"/>
  <c r="AQ55"/>
  <c r="AS55"/>
  <c r="BH53"/>
  <c r="AQ53"/>
  <c r="AO53"/>
  <c r="AM53"/>
  <c r="AK53"/>
  <c r="AI53"/>
  <c r="AS53"/>
  <c r="AE49"/>
  <c r="Y49"/>
  <c r="BM47"/>
  <c r="U47"/>
  <c r="BE43"/>
  <c r="BM43"/>
  <c r="W43"/>
  <c r="AA43"/>
  <c r="AC43"/>
  <c r="U43"/>
  <c r="AC41"/>
  <c r="AA41"/>
  <c r="W41"/>
  <c r="U41"/>
  <c r="BE37"/>
  <c r="BM37"/>
  <c r="AC37"/>
  <c r="AA37"/>
  <c r="U37"/>
  <c r="W37"/>
  <c r="BE31"/>
  <c r="BM31"/>
  <c r="U31"/>
  <c r="AC31"/>
  <c r="AA31"/>
  <c r="W31"/>
  <c r="AC29"/>
  <c r="F117"/>
  <c r="E117" s="1"/>
  <c r="F115"/>
  <c r="E115" s="1"/>
  <c r="F113"/>
  <c r="E113" s="1"/>
  <c r="F123"/>
  <c r="E123" s="1"/>
  <c r="F61"/>
  <c r="E61" s="1"/>
  <c r="F39"/>
  <c r="E39" s="1"/>
  <c r="F135"/>
  <c r="E135" s="1"/>
  <c r="BE135" s="1"/>
  <c r="F151"/>
  <c r="E151" s="1"/>
  <c r="BE151" s="1"/>
  <c r="F71"/>
  <c r="E71" s="1"/>
  <c r="F33"/>
  <c r="E33" s="1"/>
  <c r="F45"/>
  <c r="E45" s="1"/>
  <c r="F141"/>
  <c r="E141" s="1"/>
  <c r="BE141" s="1"/>
  <c r="F133"/>
  <c r="E133" s="1"/>
  <c r="F51"/>
  <c r="E51" s="1"/>
  <c r="F145"/>
  <c r="E145" s="1"/>
  <c r="BE145" s="1"/>
  <c r="W29" l="1"/>
  <c r="AS305"/>
  <c r="BE29"/>
  <c r="BM41"/>
  <c r="BE95"/>
  <c r="BG41"/>
  <c r="AA29"/>
  <c r="BH41"/>
  <c r="AI41"/>
  <c r="U29"/>
  <c r="AO41"/>
  <c r="AA47"/>
  <c r="AK41"/>
  <c r="AC47"/>
  <c r="BE41"/>
  <c r="W47"/>
  <c r="AA35"/>
  <c r="BM35"/>
  <c r="U53"/>
  <c r="BE53"/>
  <c r="BE35"/>
  <c r="U35"/>
  <c r="AC35"/>
  <c r="AA53"/>
  <c r="AI63"/>
  <c r="BM63"/>
  <c r="AK63"/>
  <c r="BM53"/>
  <c r="AO63"/>
  <c r="BE63"/>
  <c r="AM63"/>
  <c r="BH63"/>
  <c r="W53"/>
  <c r="BE59"/>
  <c r="BG59"/>
  <c r="BH59"/>
  <c r="AI59"/>
  <c r="AO59"/>
  <c r="AM59"/>
  <c r="AK59"/>
  <c r="U59"/>
  <c r="AA59"/>
  <c r="AI55"/>
  <c r="AO55"/>
  <c r="AK55"/>
  <c r="W49"/>
  <c r="AC49"/>
  <c r="U49"/>
  <c r="AA49"/>
  <c r="BM49"/>
  <c r="BH55"/>
  <c r="BG55"/>
  <c r="AC59"/>
  <c r="W59"/>
  <c r="BM59"/>
  <c r="AK79"/>
  <c r="AO79"/>
  <c r="AM79"/>
  <c r="AI79"/>
  <c r="BM55"/>
  <c r="W61"/>
  <c r="U61"/>
  <c r="AC61"/>
  <c r="AA61"/>
  <c r="AQ45"/>
  <c r="AO45"/>
  <c r="AM45"/>
  <c r="AK45"/>
  <c r="AI45"/>
  <c r="BM75"/>
  <c r="AK75"/>
  <c r="AO75"/>
  <c r="AM75"/>
  <c r="AI75"/>
  <c r="AI67"/>
  <c r="U67"/>
  <c r="W67"/>
  <c r="AC67"/>
  <c r="AA67"/>
  <c r="AM55"/>
  <c r="U55"/>
  <c r="AA55"/>
  <c r="AC55"/>
  <c r="W55"/>
  <c r="AC79"/>
  <c r="BH79"/>
  <c r="BG79"/>
  <c r="BM79"/>
  <c r="BG45"/>
  <c r="BH45"/>
  <c r="BM67"/>
  <c r="W75"/>
  <c r="BH75"/>
  <c r="BG75"/>
  <c r="BE79"/>
  <c r="J120" i="65"/>
  <c r="AQ67" i="116"/>
  <c r="AC75"/>
  <c r="BA127"/>
  <c r="BB127" s="1"/>
  <c r="BA125"/>
  <c r="BB125" s="1"/>
  <c r="AO107"/>
  <c r="AQ107"/>
  <c r="BG107"/>
  <c r="AM107"/>
  <c r="BH107"/>
  <c r="BM107"/>
  <c r="AI107"/>
  <c r="BE107"/>
  <c r="BA103"/>
  <c r="BB103" s="1"/>
  <c r="BC103" s="1"/>
  <c r="BA99"/>
  <c r="BB99" s="1"/>
  <c r="BC99" s="1"/>
  <c r="BA87"/>
  <c r="BB87" s="1"/>
  <c r="BD87" s="1"/>
  <c r="BA85"/>
  <c r="BB85" s="1"/>
  <c r="BC85" s="1"/>
  <c r="BE133"/>
  <c r="BM133"/>
  <c r="AC133"/>
  <c r="AA133"/>
  <c r="W133"/>
  <c r="U133"/>
  <c r="BA131"/>
  <c r="AC123"/>
  <c r="AA123"/>
  <c r="W123"/>
  <c r="U123"/>
  <c r="BE123"/>
  <c r="BM123"/>
  <c r="BG123"/>
  <c r="BH123"/>
  <c r="AO123"/>
  <c r="AM123"/>
  <c r="AI123"/>
  <c r="AK123"/>
  <c r="BA121"/>
  <c r="BB121" s="1"/>
  <c r="BC121" s="1"/>
  <c r="BA119"/>
  <c r="BB119" s="1"/>
  <c r="BC119" s="1"/>
  <c r="BE117"/>
  <c r="BM117"/>
  <c r="U117"/>
  <c r="W117"/>
  <c r="AC117"/>
  <c r="AA117"/>
  <c r="BE115"/>
  <c r="BM115"/>
  <c r="W115"/>
  <c r="AC115"/>
  <c r="AA115"/>
  <c r="U115"/>
  <c r="BE113"/>
  <c r="BM113"/>
  <c r="U113"/>
  <c r="AA113"/>
  <c r="AC113"/>
  <c r="W113"/>
  <c r="BA111"/>
  <c r="BB111" s="1"/>
  <c r="BC111" s="1"/>
  <c r="BA105"/>
  <c r="BB105" s="1"/>
  <c r="BC105" s="1"/>
  <c r="BA95"/>
  <c r="BB95" s="1"/>
  <c r="BA91"/>
  <c r="BB91" s="1"/>
  <c r="BA83"/>
  <c r="BB83" s="1"/>
  <c r="BC83" s="1"/>
  <c r="BA81"/>
  <c r="BB81" s="1"/>
  <c r="BC81" s="1"/>
  <c r="BA77"/>
  <c r="BB77" s="1"/>
  <c r="BC77" s="1"/>
  <c r="BE71"/>
  <c r="BM71"/>
  <c r="W71"/>
  <c r="AC71"/>
  <c r="AA71"/>
  <c r="U71"/>
  <c r="BE61"/>
  <c r="BH61"/>
  <c r="BG61"/>
  <c r="BM61"/>
  <c r="AQ61"/>
  <c r="AO61"/>
  <c r="AI61"/>
  <c r="AK61"/>
  <c r="AM61"/>
  <c r="BA57"/>
  <c r="BB57" s="1"/>
  <c r="BE51"/>
  <c r="BM51"/>
  <c r="AE51"/>
  <c r="AC51"/>
  <c r="AA51"/>
  <c r="U51"/>
  <c r="Y51"/>
  <c r="W51"/>
  <c r="BE45"/>
  <c r="BM45"/>
  <c r="W45"/>
  <c r="U45"/>
  <c r="AC45"/>
  <c r="AE45"/>
  <c r="AA45"/>
  <c r="Y45"/>
  <c r="BA43"/>
  <c r="BB43" s="1"/>
  <c r="BC43" s="1"/>
  <c r="BE39"/>
  <c r="BM39"/>
  <c r="AC39"/>
  <c r="AA39"/>
  <c r="W39"/>
  <c r="U39"/>
  <c r="BA37"/>
  <c r="BB37" s="1"/>
  <c r="BC37" s="1"/>
  <c r="BE33"/>
  <c r="BM33"/>
  <c r="AA33"/>
  <c r="AC33"/>
  <c r="W33"/>
  <c r="U33"/>
  <c r="BA31"/>
  <c r="BB31" s="1"/>
  <c r="BC31" s="1"/>
  <c r="BE305" l="1"/>
  <c r="W305"/>
  <c r="BA29"/>
  <c r="Y305"/>
  <c r="AM305"/>
  <c r="AC305"/>
  <c r="J122" i="65" s="1"/>
  <c r="BM305" i="116"/>
  <c r="AK305"/>
  <c r="AI305"/>
  <c r="BH305"/>
  <c r="BG305"/>
  <c r="AO305"/>
  <c r="AQ305"/>
  <c r="AA305"/>
  <c r="U305"/>
  <c r="BA41"/>
  <c r="BB41" s="1"/>
  <c r="BD41" s="1"/>
  <c r="AE305"/>
  <c r="BA47"/>
  <c r="BB47" s="1"/>
  <c r="BA35"/>
  <c r="BB35" s="1"/>
  <c r="BC35" s="1"/>
  <c r="BA63"/>
  <c r="BB63" s="1"/>
  <c r="BD63" s="1"/>
  <c r="BA53"/>
  <c r="BB53" s="1"/>
  <c r="BA49"/>
  <c r="BB49" s="1"/>
  <c r="BC49" s="1"/>
  <c r="BA59"/>
  <c r="BB59" s="1"/>
  <c r="BC41"/>
  <c r="BA79"/>
  <c r="BB79" s="1"/>
  <c r="BA55"/>
  <c r="BB55" s="1"/>
  <c r="BD55" s="1"/>
  <c r="BA67"/>
  <c r="BB67" s="1"/>
  <c r="BC67" s="1"/>
  <c r="BD47"/>
  <c r="BA75"/>
  <c r="BB75" s="1"/>
  <c r="BB131"/>
  <c r="BC131" s="1"/>
  <c r="BD127"/>
  <c r="BD125"/>
  <c r="BA39"/>
  <c r="BB39" s="1"/>
  <c r="BC39" s="1"/>
  <c r="BA107"/>
  <c r="BB107" s="1"/>
  <c r="BD107" s="1"/>
  <c r="BA133"/>
  <c r="BC127"/>
  <c r="J123" i="65"/>
  <c r="BA123" i="116"/>
  <c r="BA117"/>
  <c r="BB117" s="1"/>
  <c r="BC117" s="1"/>
  <c r="BC87"/>
  <c r="BA71"/>
  <c r="BB71" s="1"/>
  <c r="BC71" s="1"/>
  <c r="BA61"/>
  <c r="BB61" s="1"/>
  <c r="BD61" s="1"/>
  <c r="J155" i="65"/>
  <c r="BA115" i="116"/>
  <c r="BB115" s="1"/>
  <c r="BC115" s="1"/>
  <c r="BA113"/>
  <c r="BB113" s="1"/>
  <c r="BC113" s="1"/>
  <c r="BC95"/>
  <c r="BD95"/>
  <c r="BC91"/>
  <c r="BD91"/>
  <c r="BD67"/>
  <c r="BC57"/>
  <c r="BD57"/>
  <c r="BD53"/>
  <c r="BA51"/>
  <c r="BB51" s="1"/>
  <c r="BC51" s="1"/>
  <c r="J121" i="65"/>
  <c r="BA45" i="116"/>
  <c r="BB45" s="1"/>
  <c r="BA33"/>
  <c r="BB33" s="1"/>
  <c r="BC33" s="1"/>
  <c r="BB29"/>
  <c r="BC47" l="1"/>
  <c r="BA305"/>
  <c r="BC53"/>
  <c r="BC63"/>
  <c r="BD79"/>
  <c r="BC79"/>
  <c r="BC59"/>
  <c r="BD59"/>
  <c r="BC55"/>
  <c r="BC45"/>
  <c r="BD45"/>
  <c r="BC75"/>
  <c r="BD75"/>
  <c r="BD123"/>
  <c r="BB123"/>
  <c r="BB305" s="1"/>
  <c r="BB133"/>
  <c r="BC133" s="1"/>
  <c r="BC125"/>
  <c r="J124" i="65"/>
  <c r="BC61" i="116"/>
  <c r="BC107"/>
  <c r="E86" i="65"/>
  <c r="J107"/>
  <c r="E94" s="1"/>
  <c r="E17"/>
  <c r="J12" s="1"/>
  <c r="E245"/>
  <c r="E246" s="1"/>
  <c r="J242" s="1"/>
  <c r="H284"/>
  <c r="H286" s="1"/>
  <c r="E290"/>
  <c r="H290"/>
  <c r="H294"/>
  <c r="E294"/>
  <c r="E298"/>
  <c r="E303"/>
  <c r="E305" s="1"/>
  <c r="H303"/>
  <c r="H305" s="1"/>
  <c r="H307"/>
  <c r="H309" s="1"/>
  <c r="BD305" i="116" l="1"/>
  <c r="E144" i="65" s="1"/>
  <c r="E166"/>
  <c r="E168" s="1"/>
  <c r="J164" s="1"/>
  <c r="F55" i="57" s="1"/>
  <c r="E158" i="65"/>
  <c r="E160" s="1"/>
  <c r="J156" s="1"/>
  <c r="F54" i="57" s="1"/>
  <c r="E89" i="65"/>
  <c r="J75" s="1"/>
  <c r="E96"/>
  <c r="J92" s="1"/>
  <c r="J300"/>
  <c r="F105" i="57" s="1"/>
  <c r="F13"/>
  <c r="F33"/>
  <c r="F34"/>
  <c r="F58"/>
  <c r="H27"/>
  <c r="BC123" i="116"/>
  <c r="BC305" s="1"/>
  <c r="F48" i="57"/>
  <c r="F56"/>
  <c r="F59"/>
  <c r="F57"/>
  <c r="F53"/>
  <c r="F60"/>
  <c r="F95"/>
  <c r="F68"/>
  <c r="F103"/>
  <c r="F39"/>
  <c r="F96"/>
  <c r="F20"/>
  <c r="F66"/>
  <c r="F63"/>
  <c r="F62"/>
  <c r="F67"/>
  <c r="F17"/>
  <c r="F21"/>
  <c r="F18"/>
  <c r="F19"/>
  <c r="F97"/>
  <c r="E286" i="65"/>
  <c r="J281" s="1"/>
  <c r="F69" i="57"/>
  <c r="F90"/>
  <c r="F89"/>
  <c r="F27"/>
  <c r="F61"/>
  <c r="F42"/>
  <c r="F23"/>
  <c r="F12"/>
  <c r="W19" i="107"/>
  <c r="F35" i="57"/>
  <c r="J238" i="65" l="1"/>
  <c r="F86" i="57" s="1"/>
  <c r="J249" i="65"/>
  <c r="F91" i="57" s="1"/>
  <c r="K27"/>
  <c r="I69"/>
  <c r="K69"/>
  <c r="I17"/>
  <c r="K17"/>
  <c r="I39"/>
  <c r="K39"/>
  <c r="I56"/>
  <c r="K56"/>
  <c r="I33"/>
  <c r="K33"/>
  <c r="I23"/>
  <c r="K23"/>
  <c r="I12"/>
  <c r="K12"/>
  <c r="I67"/>
  <c r="K67"/>
  <c r="I103"/>
  <c r="K103"/>
  <c r="I48"/>
  <c r="K48"/>
  <c r="I13"/>
  <c r="K13"/>
  <c r="I68"/>
  <c r="K68"/>
  <c r="I105"/>
  <c r="K105"/>
  <c r="I95"/>
  <c r="K95"/>
  <c r="I62"/>
  <c r="K62"/>
  <c r="I42"/>
  <c r="K42"/>
  <c r="I97"/>
  <c r="K97"/>
  <c r="I63"/>
  <c r="K63"/>
  <c r="I60"/>
  <c r="K60"/>
  <c r="I55"/>
  <c r="K55"/>
  <c r="I61"/>
  <c r="K61"/>
  <c r="I19"/>
  <c r="K19"/>
  <c r="I66"/>
  <c r="K66"/>
  <c r="I53"/>
  <c r="K53"/>
  <c r="I89"/>
  <c r="K89"/>
  <c r="I18"/>
  <c r="K18"/>
  <c r="I20"/>
  <c r="K20"/>
  <c r="I57"/>
  <c r="K57"/>
  <c r="I58"/>
  <c r="K58"/>
  <c r="I54"/>
  <c r="K54"/>
  <c r="I35"/>
  <c r="K35"/>
  <c r="I90"/>
  <c r="K90"/>
  <c r="I21"/>
  <c r="K21"/>
  <c r="I96"/>
  <c r="K96"/>
  <c r="I59"/>
  <c r="K59"/>
  <c r="I34"/>
  <c r="K34"/>
  <c r="E127" i="65"/>
  <c r="E129" s="1"/>
  <c r="E150"/>
  <c r="E152" s="1"/>
  <c r="J147" s="1"/>
  <c r="F52" i="57" s="1"/>
  <c r="J140" i="65"/>
  <c r="F51" i="57" s="1"/>
  <c r="I27"/>
  <c r="F37"/>
  <c r="E101" i="65"/>
  <c r="E104" s="1"/>
  <c r="J99" s="1"/>
  <c r="F38" i="57" s="1"/>
  <c r="F36"/>
  <c r="J232" i="65"/>
  <c r="F65" i="57"/>
  <c r="F104"/>
  <c r="F64"/>
  <c r="Y19" i="107"/>
  <c r="Z19"/>
  <c r="J205" i="65"/>
  <c r="F74" i="57" s="1"/>
  <c r="J239" i="65"/>
  <c r="X19" i="107"/>
  <c r="J240" i="65"/>
  <c r="E135" l="1"/>
  <c r="E137" s="1"/>
  <c r="I11" i="57"/>
  <c r="J9" i="131" s="1"/>
  <c r="I94" i="57"/>
  <c r="J16" i="131" s="1"/>
  <c r="I26" i="57"/>
  <c r="F80"/>
  <c r="K91"/>
  <c r="I65"/>
  <c r="K65"/>
  <c r="I36"/>
  <c r="K36"/>
  <c r="I74"/>
  <c r="K74"/>
  <c r="I38"/>
  <c r="K38"/>
  <c r="I52"/>
  <c r="K52"/>
  <c r="I37"/>
  <c r="K37"/>
  <c r="I86"/>
  <c r="K86"/>
  <c r="I64"/>
  <c r="K64"/>
  <c r="I104"/>
  <c r="I102" s="1"/>
  <c r="J17" i="131" s="1"/>
  <c r="K104" i="57"/>
  <c r="I51"/>
  <c r="K51"/>
  <c r="E227" i="65"/>
  <c r="E229" s="1"/>
  <c r="J125"/>
  <c r="J233"/>
  <c r="F81" i="57" s="1"/>
  <c r="J223" i="65"/>
  <c r="F77" i="57" s="1"/>
  <c r="J224" i="65"/>
  <c r="F78" i="57" s="1"/>
  <c r="F87"/>
  <c r="F44"/>
  <c r="AA19" i="107"/>
  <c r="F43" i="57"/>
  <c r="F88"/>
  <c r="F9" i="130" l="1"/>
  <c r="G9" s="1"/>
  <c r="F23"/>
  <c r="J23" s="1"/>
  <c r="I32" i="57"/>
  <c r="J12" i="131" s="1"/>
  <c r="N16"/>
  <c r="F11" i="130"/>
  <c r="G11" s="1"/>
  <c r="J10" i="131"/>
  <c r="N9"/>
  <c r="L9" s="1"/>
  <c r="N17"/>
  <c r="L17" s="1"/>
  <c r="K80" i="57"/>
  <c r="F25" i="130"/>
  <c r="I80" i="57"/>
  <c r="I91"/>
  <c r="I81"/>
  <c r="K81"/>
  <c r="I88"/>
  <c r="K88"/>
  <c r="I43"/>
  <c r="K43"/>
  <c r="I44"/>
  <c r="K44"/>
  <c r="I87"/>
  <c r="K87"/>
  <c r="I78"/>
  <c r="K78"/>
  <c r="I77"/>
  <c r="K77"/>
  <c r="J234" i="65"/>
  <c r="F30" i="57"/>
  <c r="F15" i="130" l="1"/>
  <c r="K17" s="1"/>
  <c r="L23"/>
  <c r="H23"/>
  <c r="K23"/>
  <c r="I23"/>
  <c r="G23"/>
  <c r="N12" i="131"/>
  <c r="L12" s="1"/>
  <c r="I85" i="57"/>
  <c r="J15" i="131" s="1"/>
  <c r="N15" s="1"/>
  <c r="L15" s="1"/>
  <c r="K11" i="130"/>
  <c r="L16" i="131"/>
  <c r="J11" i="130"/>
  <c r="L11"/>
  <c r="H11"/>
  <c r="I11"/>
  <c r="N10" i="131"/>
  <c r="L10" s="1"/>
  <c r="J25" i="130"/>
  <c r="K25"/>
  <c r="L25"/>
  <c r="G25"/>
  <c r="I25"/>
  <c r="H25"/>
  <c r="F82" i="57"/>
  <c r="I30"/>
  <c r="I29" s="1"/>
  <c r="K30"/>
  <c r="J225" i="65"/>
  <c r="F79" i="57" s="1"/>
  <c r="F49"/>
  <c r="F45"/>
  <c r="F46"/>
  <c r="F47"/>
  <c r="I15" i="130" l="1"/>
  <c r="G15"/>
  <c r="L15"/>
  <c r="H15"/>
  <c r="K15"/>
  <c r="L17"/>
  <c r="J15"/>
  <c r="F21"/>
  <c r="G21" s="1"/>
  <c r="F13"/>
  <c r="J13" s="1"/>
  <c r="J11" i="131"/>
  <c r="I82" i="57"/>
  <c r="K82"/>
  <c r="I47"/>
  <c r="K47"/>
  <c r="I46"/>
  <c r="K46"/>
  <c r="I45"/>
  <c r="K45"/>
  <c r="I49"/>
  <c r="K49"/>
  <c r="I79"/>
  <c r="K79"/>
  <c r="J132" i="65"/>
  <c r="L21" i="130" l="1"/>
  <c r="J21"/>
  <c r="I21"/>
  <c r="K21"/>
  <c r="H21"/>
  <c r="I13"/>
  <c r="L13"/>
  <c r="I71" i="57"/>
  <c r="J14" i="131" s="1"/>
  <c r="H13" i="130"/>
  <c r="G13"/>
  <c r="K13"/>
  <c r="N11" i="131"/>
  <c r="F50" i="57"/>
  <c r="N14" i="131" l="1"/>
  <c r="L14" s="1"/>
  <c r="F19" i="130"/>
  <c r="G19" s="1"/>
  <c r="L11" i="131"/>
  <c r="K50" i="57"/>
  <c r="I50"/>
  <c r="I41" s="1"/>
  <c r="J13" i="131" s="1"/>
  <c r="J19" i="130" l="1"/>
  <c r="H19"/>
  <c r="K19"/>
  <c r="I19"/>
  <c r="L19"/>
  <c r="N13" i="131"/>
  <c r="J18"/>
  <c r="K13" s="1"/>
  <c r="I106" i="57"/>
  <c r="G5" i="130" s="1"/>
  <c r="F17"/>
  <c r="K11" i="131" l="1"/>
  <c r="K12"/>
  <c r="K17"/>
  <c r="K9"/>
  <c r="K16"/>
  <c r="K15"/>
  <c r="K10"/>
  <c r="K14"/>
  <c r="N18"/>
  <c r="O13" s="1"/>
  <c r="L13"/>
  <c r="G17" i="130"/>
  <c r="G33" s="1"/>
  <c r="J17"/>
  <c r="I17"/>
  <c r="H17"/>
  <c r="F33"/>
  <c r="M26" i="57"/>
  <c r="M24"/>
  <c r="M11"/>
  <c r="K18" i="131" l="1"/>
  <c r="L18"/>
  <c r="O17"/>
  <c r="O12"/>
  <c r="O9"/>
  <c r="O16"/>
  <c r="O15"/>
  <c r="O10"/>
  <c r="O11"/>
  <c r="O14"/>
  <c r="F28" i="130"/>
  <c r="H9"/>
  <c r="H33" s="1"/>
  <c r="J9"/>
  <c r="J33" s="1"/>
  <c r="I9"/>
  <c r="I33" s="1"/>
  <c r="L9"/>
  <c r="L33" s="1"/>
  <c r="K9"/>
  <c r="K33" s="1"/>
  <c r="O18" i="131" l="1"/>
  <c r="L8"/>
  <c r="N8" s="1"/>
  <c r="M9"/>
  <c r="M12"/>
  <c r="M17"/>
  <c r="M15"/>
  <c r="M16"/>
  <c r="M10"/>
  <c r="M14"/>
  <c r="M11"/>
  <c r="M13"/>
  <c r="K32" i="130"/>
  <c r="I32"/>
  <c r="F8"/>
  <c r="F10"/>
  <c r="G32"/>
  <c r="J32"/>
  <c r="F26"/>
  <c r="L32"/>
  <c r="H32"/>
  <c r="F14"/>
  <c r="F24"/>
  <c r="F22"/>
  <c r="F16"/>
  <c r="F20"/>
  <c r="F30"/>
  <c r="F18"/>
  <c r="F12"/>
  <c r="M18" i="131" l="1"/>
  <c r="F32" i="130"/>
</calcChain>
</file>

<file path=xl/sharedStrings.xml><?xml version="1.0" encoding="utf-8"?>
<sst xmlns="http://schemas.openxmlformats.org/spreadsheetml/2006/main" count="1599" uniqueCount="784">
  <si>
    <t>CÓDIGO</t>
  </si>
  <si>
    <t>TOTAL</t>
  </si>
  <si>
    <t>DESCRIÇÃO DO SERVIÇO</t>
  </si>
  <si>
    <t>ITEM</t>
  </si>
  <si>
    <t>m</t>
  </si>
  <si>
    <t>Lucro (L)</t>
  </si>
  <si>
    <t>QUANT.</t>
  </si>
  <si>
    <t>m²</t>
  </si>
  <si>
    <t>Despesas Financeiras (DF)</t>
  </si>
  <si>
    <t>Administração Central (AC)</t>
  </si>
  <si>
    <t>m³</t>
  </si>
  <si>
    <t>DMT</t>
  </si>
  <si>
    <t>Comprimento</t>
  </si>
  <si>
    <t>Largura</t>
  </si>
  <si>
    <t>Quantidade</t>
  </si>
  <si>
    <t>Altura</t>
  </si>
  <si>
    <t>Estaca</t>
  </si>
  <si>
    <t>1.1</t>
  </si>
  <si>
    <t>1.2</t>
  </si>
  <si>
    <t>1.3</t>
  </si>
  <si>
    <t>1.4</t>
  </si>
  <si>
    <t>1.5</t>
  </si>
  <si>
    <t>1.6</t>
  </si>
  <si>
    <t>1.7</t>
  </si>
  <si>
    <t>%</t>
  </si>
  <si>
    <t>Área</t>
  </si>
  <si>
    <t>km</t>
  </si>
  <si>
    <t>DN</t>
  </si>
  <si>
    <t>m³xkm</t>
  </si>
  <si>
    <t>unid.</t>
  </si>
  <si>
    <t>meses</t>
  </si>
  <si>
    <t>UNID.</t>
  </si>
  <si>
    <t>Taxa de Impostos (I)</t>
  </si>
  <si>
    <t>Taxa de Impostos</t>
  </si>
  <si>
    <t>Comprimentos Totais (m)</t>
  </si>
  <si>
    <t>Larguras Totais (m)</t>
  </si>
  <si>
    <t>Espessuras (m)</t>
  </si>
  <si>
    <t>Áreas (m²)</t>
  </si>
  <si>
    <t>Volumes (m³)</t>
  </si>
  <si>
    <t>Inicial</t>
  </si>
  <si>
    <t>Final</t>
  </si>
  <si>
    <t>Meio Fio</t>
  </si>
  <si>
    <t>Sarjeta</t>
  </si>
  <si>
    <t xml:space="preserve">Meio Fio </t>
  </si>
  <si>
    <t xml:space="preserve">CBUQ </t>
  </si>
  <si>
    <t>Base</t>
  </si>
  <si>
    <t>Regularização Subleito</t>
  </si>
  <si>
    <t>Passeio</t>
  </si>
  <si>
    <t>* TRANSPORTE DE EMULSÃO - CBUQ</t>
  </si>
  <si>
    <t>Risco (R)</t>
  </si>
  <si>
    <t>PIS =</t>
  </si>
  <si>
    <t>ISS (LEI 74) =</t>
  </si>
  <si>
    <t>1.8</t>
  </si>
  <si>
    <t>1.9</t>
  </si>
  <si>
    <t>1.10</t>
  </si>
  <si>
    <t>4.1</t>
  </si>
  <si>
    <t>2.1</t>
  </si>
  <si>
    <t>5.1</t>
  </si>
  <si>
    <t>5.2</t>
  </si>
  <si>
    <t>7.1</t>
  </si>
  <si>
    <t>7.2</t>
  </si>
  <si>
    <t>9.1</t>
  </si>
  <si>
    <t>Pintura</t>
  </si>
  <si>
    <t>Imprimação</t>
  </si>
  <si>
    <t>Rua</t>
  </si>
  <si>
    <t>Transporte de Emulsão (TxKm)</t>
  </si>
  <si>
    <t>Descontar (canteiro)</t>
  </si>
  <si>
    <t>Caixa de Rua  / Reforço Subleito</t>
  </si>
  <si>
    <t xml:space="preserve">Passeio </t>
  </si>
  <si>
    <t>* A EXTENSÃO PREVISTA DE CADA RUA PODE SER DIFERENTE DO COMPRIMENTO DO ESTAQUEAMENTO POIS ESTA SENDO LEVADO EM CONTA OS DESCONTOS DE INTERSEÇÃO.</t>
  </si>
  <si>
    <t>Escação Manual</t>
  </si>
  <si>
    <t>DN (mm)</t>
  </si>
  <si>
    <t>Comp.</t>
  </si>
  <si>
    <t>PV Nº</t>
  </si>
  <si>
    <t>PROF.</t>
  </si>
  <si>
    <t>Empolamento</t>
  </si>
  <si>
    <t>Faixa Pedestre:</t>
  </si>
  <si>
    <t>Sinalização Pare:</t>
  </si>
  <si>
    <t>Faixa canalização de fluxos amarela:</t>
  </si>
  <si>
    <t>Faixa de retenção Pare:</t>
  </si>
  <si>
    <t>Placa de Pare:</t>
  </si>
  <si>
    <t>Placas de Regulamentação (Circular):</t>
  </si>
  <si>
    <t>Sub Base</t>
  </si>
  <si>
    <t>6.1</t>
  </si>
  <si>
    <t>6.2</t>
  </si>
  <si>
    <t>6.4</t>
  </si>
  <si>
    <t>5.3</t>
  </si>
  <si>
    <t>5.5</t>
  </si>
  <si>
    <t>5.6</t>
  </si>
  <si>
    <t>8.1</t>
  </si>
  <si>
    <t>8.2</t>
  </si>
  <si>
    <t>DN-600</t>
  </si>
  <si>
    <t>BL</t>
  </si>
  <si>
    <t>PV</t>
  </si>
  <si>
    <t>DN-800</t>
  </si>
  <si>
    <t>Reforço subleito</t>
  </si>
  <si>
    <t>KM.</t>
  </si>
  <si>
    <t>6.5</t>
  </si>
  <si>
    <t>7.3</t>
  </si>
  <si>
    <t>VOLUME (m³)</t>
  </si>
  <si>
    <t>VIA/RUA</t>
  </si>
  <si>
    <t>Via Noroeste trecho inicial</t>
  </si>
  <si>
    <t>Volume total (m³):</t>
  </si>
  <si>
    <t>0+0,00</t>
  </si>
  <si>
    <t>8.3</t>
  </si>
  <si>
    <t>Descontar cruzamentos (meio fio/sarjeta)</t>
  </si>
  <si>
    <t>Descontar cruzamentos (pavimentação)</t>
  </si>
  <si>
    <t>DN-1000</t>
  </si>
  <si>
    <t>DN-1500</t>
  </si>
  <si>
    <t>5.4</t>
  </si>
  <si>
    <t>Área faixa</t>
  </si>
  <si>
    <t>Quantidade faixas</t>
  </si>
  <si>
    <t>Placas de Advertência:</t>
  </si>
  <si>
    <t>Comprimento total</t>
  </si>
  <si>
    <t>6.6</t>
  </si>
  <si>
    <t>Pista de rolamento (sem sarjeta)</t>
  </si>
  <si>
    <t>7.4</t>
  </si>
  <si>
    <t>Faixa contínua branca:</t>
  </si>
  <si>
    <t>Faixa seccionada branca:</t>
  </si>
  <si>
    <t>Faixa canalização zebrada amarela:</t>
  </si>
  <si>
    <t>Volume carregado</t>
  </si>
  <si>
    <t>ESTACA</t>
  </si>
  <si>
    <t>REFERÊNCIA</t>
  </si>
  <si>
    <t>6.7</t>
  </si>
  <si>
    <t>6.8</t>
  </si>
  <si>
    <t>6.9</t>
  </si>
  <si>
    <t>VIA NOROESTE (trecho inicial)</t>
  </si>
  <si>
    <t>6.10</t>
  </si>
  <si>
    <t>INTERVALOS DN PV's</t>
  </si>
  <si>
    <t xml:space="preserve">Planilha de Quantidades </t>
  </si>
  <si>
    <t>DN-400 a 500</t>
  </si>
  <si>
    <t>Memória rede de drenagem</t>
  </si>
  <si>
    <t>DN-700</t>
  </si>
  <si>
    <t>DN-900</t>
  </si>
  <si>
    <t>DN-1100</t>
  </si>
  <si>
    <t>Escação Mecânica</t>
  </si>
  <si>
    <t>BSTC400</t>
  </si>
  <si>
    <t>BSTC600</t>
  </si>
  <si>
    <t>BSTC800</t>
  </si>
  <si>
    <t>BSTC1000</t>
  </si>
  <si>
    <t>BSTC1200</t>
  </si>
  <si>
    <t>Nº de BLD's:</t>
  </si>
  <si>
    <t>DN MAIOR PV (mm)</t>
  </si>
  <si>
    <t>QUANT. PV (unid.)</t>
  </si>
  <si>
    <t>LARGURA VALA (m)</t>
  </si>
  <si>
    <t>TIPO DE ESCOR.</t>
  </si>
  <si>
    <t>DN E PROF.</t>
  </si>
  <si>
    <t>DE - DN (mm)</t>
  </si>
  <si>
    <t>DN  (mm)</t>
  </si>
  <si>
    <t>MATERIAL TUBO</t>
  </si>
  <si>
    <t>TIPO DE PAVIMENTO</t>
  </si>
  <si>
    <t>TIPO DE SOLO</t>
  </si>
  <si>
    <t>COMPRIMENTO DO TRECHO EM PLANTA (m)</t>
  </si>
  <si>
    <t>DECLIVIDADE (%)</t>
  </si>
  <si>
    <t>COMPRIMENTO DO TRECHO REAL (m)</t>
  </si>
  <si>
    <t>PROFUNDIDADE (m)</t>
  </si>
  <si>
    <t>SOLO SECO</t>
  </si>
  <si>
    <t>SOLO COM ÁGUA</t>
  </si>
  <si>
    <t>ESCORAMENTO (m²)</t>
  </si>
  <si>
    <t>ESCAVAÇÃO TOTAL VALA (m³)</t>
  </si>
  <si>
    <t>VOLUME ATERRO COMPACTADO (m³)</t>
  </si>
  <si>
    <t>BOTA-FORA (m³)</t>
  </si>
  <si>
    <t>EMPRÉSTIMO (m³)</t>
  </si>
  <si>
    <t>ACERTO FUNDO DE VALA (m²)</t>
  </si>
  <si>
    <t>REATERRO ADENSADO COM AREIA (m³)</t>
  </si>
  <si>
    <t>ENROCAMENTO COM PEDRA DE MÃO
(m³)</t>
  </si>
  <si>
    <t>CAMADA DRENANTE C/ BRITA
(m³)</t>
  </si>
  <si>
    <t>COMPR. SOLO C/ ÁGUA (m)</t>
  </si>
  <si>
    <t>ALTURA BERÇO (m)</t>
  </si>
  <si>
    <t>BERÇO DE CONCRETO (m³)</t>
  </si>
  <si>
    <t>FORMA (m²)</t>
  </si>
  <si>
    <t>RECOMPOSIÇÃO PAVIMENTO (m²)</t>
  </si>
  <si>
    <t>MÉD. PROJETO + FUNDO + BERÇO +ENROC. + BRITA</t>
  </si>
  <si>
    <t>ACRESC. PV h&gt;1,50 m</t>
  </si>
  <si>
    <t>ESCAVAÇÃO MANUAL</t>
  </si>
  <si>
    <t>ESCAVAÇÃO MECÂNICA</t>
  </si>
  <si>
    <t>PROFUNDIDADES (m)</t>
  </si>
  <si>
    <t>TERRA</t>
  </si>
  <si>
    <t>INTERTRAVADO</t>
  </si>
  <si>
    <t>ASFALTO</t>
  </si>
  <si>
    <t>POLIÉDRICO</t>
  </si>
  <si>
    <t>LARGURA DA VALA -  PADRÃO ABNT NBR 12266</t>
  </si>
  <si>
    <t>ENROCAMENTO COM PEDRA-DE-MÃO</t>
  </si>
  <si>
    <t>CAMADA DRENANTE</t>
  </si>
  <si>
    <t>SEM ESCORAMENTO</t>
  </si>
  <si>
    <t>DESCONTÍNUO</t>
  </si>
  <si>
    <t>CONTÍNUO</t>
  </si>
  <si>
    <t>ESPECIAL</t>
  </si>
  <si>
    <t>PRANCHÃO DE MADEIRA</t>
  </si>
  <si>
    <t>PERFIL METÁLICO "I" CRAVADO</t>
  </si>
  <si>
    <t>PRANCHÃO METÁLICO</t>
  </si>
  <si>
    <t>ESPESSURA (m)</t>
  </si>
  <si>
    <t>BERÇO DE CONCRETO E FORMA PARA REDE TUBULARES DE CONCRETO</t>
  </si>
  <si>
    <t>ALTURA BERÇO PARA REDE TUBULARES DE CONCRETO, PEAD E PVC</t>
  </si>
  <si>
    <t>MATERIAL/DN</t>
  </si>
  <si>
    <t>MATERIAL</t>
  </si>
  <si>
    <t>H (m)</t>
  </si>
  <si>
    <t>DE (mm)</t>
  </si>
  <si>
    <t>BSTC</t>
  </si>
  <si>
    <t>PEAD</t>
  </si>
  <si>
    <t>PVC</t>
  </si>
  <si>
    <t>SECO</t>
  </si>
  <si>
    <t>ÁGUA</t>
  </si>
  <si>
    <t>PAVIMENTAÇÃO</t>
  </si>
  <si>
    <t>Extensão  pavimento</t>
  </si>
  <si>
    <t>Volume escavado</t>
  </si>
  <si>
    <t>Nº de BLS's:</t>
  </si>
  <si>
    <t>DIÂMETRO</t>
  </si>
  <si>
    <t>QUANTIDADES</t>
  </si>
  <si>
    <t>BOCA / ALA</t>
  </si>
  <si>
    <t>BSTC1500</t>
  </si>
  <si>
    <t>Área total piso tatil</t>
  </si>
  <si>
    <t>Comprimento da via</t>
  </si>
  <si>
    <t>Av. 01 e 02</t>
  </si>
  <si>
    <t>Data Base:</t>
  </si>
  <si>
    <t>COMPOSIÇÃO DO BDI PARA SERVIÇOS - SEM DESONERAÇÃO</t>
  </si>
  <si>
    <t>BDI máx.:</t>
  </si>
  <si>
    <t>ALTERAR Nº CONFORME CLASSIFICAÇÃO DA OBRA (QUADRO AO LADO)</t>
  </si>
  <si>
    <t>Composição do BDI segurida</t>
  </si>
  <si>
    <t>Intervalos admissíveis sem justificativa</t>
  </si>
  <si>
    <t>Composição de BDI adotada</t>
  </si>
  <si>
    <t>BDI Proposto Serviços (Construção de Rodovias e Ferrovias):</t>
  </si>
  <si>
    <t xml:space="preserve">Garantia (G) </t>
  </si>
  <si>
    <t xml:space="preserve">Garantia </t>
  </si>
  <si>
    <t>Obs.: i) Composição do BDI, intervalos admissíveis e fórmulas de cálculo nos termos do Acórdão 2622/2013 do TCU.</t>
  </si>
  <si>
    <t>Seguros (S)</t>
  </si>
  <si>
    <t>Seguros</t>
  </si>
  <si>
    <t>Risco</t>
  </si>
  <si>
    <t>Despesas Financeiras</t>
  </si>
  <si>
    <t>Administração Central</t>
  </si>
  <si>
    <t>BDI (Acórdão)=     ((1+AC+S+R+G)x(1+DF)x(1+L))</t>
  </si>
  <si>
    <t>-1              =&gt;</t>
  </si>
  <si>
    <t>Lucro</t>
  </si>
  <si>
    <t>1 - (I)</t>
  </si>
  <si>
    <t>ii) No caso de itens de serviços que não tenham referencial no SINAPI e/ou SICRO, estão sendo adotadas as orientações sobre elaboração de orçamento de acordo com a publicação do Acórdão nº 3938/2013 - TCU  e Decreto nº 7983 de 08 de abril de 2013.</t>
  </si>
  <si>
    <t>Obs. INSS: conforme Acórdão nº 2622/13 e Lei nº 13.161 de 31/08/15.</t>
  </si>
  <si>
    <t>COFINS =</t>
  </si>
  <si>
    <t>COMPOSIÇÃO DO BDI PARA MATERIAIS E EQUIPAMENTOS</t>
  </si>
  <si>
    <t>BDI Proposto para Materiais e Equipamentos:</t>
  </si>
  <si>
    <t>BDI máx.: 16,80 %</t>
  </si>
  <si>
    <t>Garantia (G)</t>
  </si>
  <si>
    <t>De 0,30% até 0,82%</t>
  </si>
  <si>
    <t>Garantia</t>
  </si>
  <si>
    <t>De 0,56% até 0,89%</t>
  </si>
  <si>
    <t>De 0,85% até 1,11%</t>
  </si>
  <si>
    <t>De 1,50% até 4,49%</t>
  </si>
  <si>
    <t>De 3,50% até 6,22%</t>
  </si>
  <si>
    <t>De 3,65% até 8,65%</t>
  </si>
  <si>
    <t xml:space="preserve">INTERVALOS ADMISSÍVEIS </t>
  </si>
  <si>
    <t>CONSTRUÇÃO DE EDIFÍCIOS</t>
  </si>
  <si>
    <t>Significados dos itens que constituem o BDI</t>
  </si>
  <si>
    <t>Garantia:</t>
  </si>
  <si>
    <t>Percentual do contrato que a administração pode exigir do contratado com o intuito de assegurar a execução do objeto.</t>
  </si>
  <si>
    <t>De 0,80 até 1,00%</t>
  </si>
  <si>
    <t>De 0,97 até 1,27%</t>
  </si>
  <si>
    <t>De 0,59 até 1,39%</t>
  </si>
  <si>
    <t>De 3,00 até 5,50%</t>
  </si>
  <si>
    <t>De 6,16 até 8,96%</t>
  </si>
  <si>
    <t>Seguros:</t>
  </si>
  <si>
    <t>Contrato pelo qual uma das partes se obriga a pagar uma indenização a outra na ocorrência de determinado evento, mediante o pagamento de um prêmio de seguro.</t>
  </si>
  <si>
    <t>CONSTRUÇÃO DE RODOVIAS E FERROVIAS</t>
  </si>
  <si>
    <t>Risco:</t>
  </si>
  <si>
    <t>Parcela destinada a cobrir efeitos de eventuais incertezas ao longo da execução contratual.</t>
  </si>
  <si>
    <t>Despesas Financeiras:</t>
  </si>
  <si>
    <t>Gastos relacionados ao custo de capital decorrente da necessidade de aporte financeiro requerido pelo fluxo de caixa da obra quando os desembolsos acumulados forem superiores às receitas acumuladas.</t>
  </si>
  <si>
    <t>De 0,32 até 0,74%</t>
  </si>
  <si>
    <t>De 0,50 até 0,97%</t>
  </si>
  <si>
    <t>De 1,02 até 1,21%</t>
  </si>
  <si>
    <t>De 3,80 até 4,67%</t>
  </si>
  <si>
    <t>De 6,64 até 8,69%</t>
  </si>
  <si>
    <t>Administração Central:</t>
  </si>
  <si>
    <t>Proporção do custo da estrutura administrativa da empresa utilizada para gerenciar a obra ou o serviço de engenharia contratado.</t>
  </si>
  <si>
    <t>CONSTRUÇÃO DE REDES DE ABASTECIMENTO DE ÁGUA, COLETA DE ESGOTO E CONSTR. CORRELATAS</t>
  </si>
  <si>
    <t>Lucro:</t>
  </si>
  <si>
    <t>Remuneração alcançada em consequência do acervo construído, da capacidade administrativa e gerencial, do conhecimento tecnológico acumulado e do custo de oportunidade de capital aplicado no desenvolvimento de uma determinada atividade econômica.</t>
  </si>
  <si>
    <t>De 0,28 até 0,75%</t>
  </si>
  <si>
    <t>De 1,00 até 1,74%</t>
  </si>
  <si>
    <t>De 0,94 até 1,17%</t>
  </si>
  <si>
    <t>De 3,43 até 6,71%</t>
  </si>
  <si>
    <t>De 6,74 até 9,40%</t>
  </si>
  <si>
    <t>CONSTRUÇÃO E MANUTENÇÃO DE ESTAÇÕES E REDES DE DISTRIBUIÇÃO DE ENERGIA ELÉTRICA</t>
  </si>
  <si>
    <t>De 0,25 até 0,56%</t>
  </si>
  <si>
    <t>De 1,00 até 1,97%</t>
  </si>
  <si>
    <t>De 1,01 até 1,11%</t>
  </si>
  <si>
    <t>De 5,29 até 7,93%</t>
  </si>
  <si>
    <t>De 8,00 até 9,51%</t>
  </si>
  <si>
    <t>OBRAS PORTUÁRIAS, MARÍTIMAS E FLUVIAIS</t>
  </si>
  <si>
    <t>De 0,81 até 1,99%</t>
  </si>
  <si>
    <t>De 1,46 até 3,16%</t>
  </si>
  <si>
    <t>De 0,94 até 1,33%</t>
  </si>
  <si>
    <t>De 4,00 até 7,85%</t>
  </si>
  <si>
    <t>De 7,14 até 10,43%</t>
  </si>
  <si>
    <t>CLASSIFICAÇÃO TIPOLOGIA DA OBRA - CNAE 2.0</t>
  </si>
  <si>
    <t>OBRAS DE EDIFICAÇÃO - CONSTRUÇÃO</t>
  </si>
  <si>
    <t>OBRAS DE EDIFICAÇÃO - REFORMA</t>
  </si>
  <si>
    <t>OBRAS AEROPORTUÁRIAS - TERMINAIS</t>
  </si>
  <si>
    <t>OBRAS RODOVIÁRIAS</t>
  </si>
  <si>
    <t>OBRAS FERROVIÁRIAS</t>
  </si>
  <si>
    <t>OBRAS AEROPORTUÁRIAS - PÁTIO E PISTA</t>
  </si>
  <si>
    <t>OBRAS DE SANEAMENTO AMBIENTAL</t>
  </si>
  <si>
    <t>OBRAS HÍDRICAS - IRRIGAÇÃO, BARRAGENS E CANAIS</t>
  </si>
  <si>
    <t>OBRAS DE LINHA DE TRANSMISSÃO/DISTRIBUIÇÃO DE ENERGIA</t>
  </si>
  <si>
    <t>OBRAS PORTUÁRIAS - ESTRUTURAS</t>
  </si>
  <si>
    <t>OBRAS DE DERROCAMENTO E DRAGAGEM</t>
  </si>
  <si>
    <t>OBS.: CONSULTA PARA OBRAS QUE NÃO SE ENQUADREM NAS TIPOLOGIAS ACIMA www.cnae.ibge.gov.br/estrutura.asp</t>
  </si>
  <si>
    <t>0+5,07 à 8+15,50</t>
  </si>
  <si>
    <t>Av. Noroeste</t>
  </si>
  <si>
    <t>BASE PARA PAVIMENTACAO COM BRITA CORRIDA, INCLUSIVE COMPACTACAO</t>
  </si>
  <si>
    <t>PLACA ESMALTADA PARA IDENTIFICAÇÃO NR DE RUA, DIMENSÕES 45X25CM</t>
  </si>
  <si>
    <t>SINALIZACAO HORIZONTAL COM TINTA RETRORREFLETIVA A BASE DE RESINA ACRILICA COM MICROESFERAS DE VIDRO</t>
  </si>
  <si>
    <t>ESCAVACAO MECANICA DE VALAS (SOLO COM AGUA), PROFUNDIDADE MAIOR QUE 1,50 M ATE 4,00 M</t>
  </si>
  <si>
    <t>ESCAVACAO MECANICA DE VALAS (SOLO COM AGUA), PROFUNDIDADE ATE 1,50 M</t>
  </si>
  <si>
    <t>SINAPI ONERADA MAIO 2016</t>
  </si>
  <si>
    <t>MOBILIZAÇÃO E DESMOBILIZAÇÃO DE CONTAINER</t>
  </si>
  <si>
    <t>SUDECAP MARÇO 2016</t>
  </si>
  <si>
    <t>FORN. E IMPLANTAÇÃO PLACA SINALIZ. VERTICAL SEMI-REFLEXIVA</t>
  </si>
  <si>
    <t>DNIT JANEIRO 2016</t>
  </si>
  <si>
    <t>M2</t>
  </si>
  <si>
    <t>MÊS</t>
  </si>
  <si>
    <t xml:space="preserve">UN </t>
  </si>
  <si>
    <t>M3</t>
  </si>
  <si>
    <t>M3XKM</t>
  </si>
  <si>
    <t>M</t>
  </si>
  <si>
    <t>ESCAVACAO MECANIZADA SUBMERSA (DRAGAGEM E CARGA), UTILIZANDO CAMINHÃO BASCULANTE, ESCAVADEIRA TIPO DRAGA DE ARRASTE E RETROESCAVADEIRA COM CARREGADEIRA</t>
  </si>
  <si>
    <t>Seção Canal projetado</t>
  </si>
  <si>
    <t>Base Maior</t>
  </si>
  <si>
    <t>Base menor</t>
  </si>
  <si>
    <t>Fórmula: (base maior + base menor) x altura / 2</t>
  </si>
  <si>
    <t>Área Seção projetada</t>
  </si>
  <si>
    <t>Área Seção natural</t>
  </si>
  <si>
    <t>Extensão Canal</t>
  </si>
  <si>
    <t>Seção Canal terreno natural</t>
  </si>
  <si>
    <t>Extensão Total</t>
  </si>
  <si>
    <t>Limpeza camada vegetal</t>
  </si>
  <si>
    <t>Espessura</t>
  </si>
  <si>
    <t>Volume</t>
  </si>
  <si>
    <t>Volume transportado</t>
  </si>
  <si>
    <t>6.11</t>
  </si>
  <si>
    <t>6.12</t>
  </si>
  <si>
    <t>7.5</t>
  </si>
  <si>
    <t>7.6</t>
  </si>
  <si>
    <t>7.7</t>
  </si>
  <si>
    <t>9.2</t>
  </si>
  <si>
    <t>9.3</t>
  </si>
  <si>
    <t>Volume terraplenagem</t>
  </si>
  <si>
    <t>Bota fora</t>
  </si>
  <si>
    <t>Depósito</t>
  </si>
  <si>
    <t>DER ABRIL 2016</t>
  </si>
  <si>
    <t>UNIDADE</t>
  </si>
  <si>
    <t>BDI:</t>
  </si>
  <si>
    <t>Folha:</t>
  </si>
  <si>
    <t>QUANTIDADE PREVISTA</t>
  </si>
  <si>
    <t>Via Noroeste 1ª Etapa</t>
  </si>
  <si>
    <t>21,92</t>
  </si>
  <si>
    <t>9,16</t>
  </si>
  <si>
    <t>7,57</t>
  </si>
  <si>
    <t>84,18</t>
  </si>
  <si>
    <t>MEMÓRIA DE CÁLCULO</t>
  </si>
  <si>
    <t>PV-01</t>
  </si>
  <si>
    <t>PV-02</t>
  </si>
  <si>
    <t>CP-01</t>
  </si>
  <si>
    <t>PV-03</t>
  </si>
  <si>
    <t>PV-04</t>
  </si>
  <si>
    <t>PV-05</t>
  </si>
  <si>
    <t>LANÇAMENTO 01</t>
  </si>
  <si>
    <t>PV-06</t>
  </si>
  <si>
    <t>PV-07</t>
  </si>
  <si>
    <t>PV-08</t>
  </si>
  <si>
    <t>CP-03</t>
  </si>
  <si>
    <t>PV-09</t>
  </si>
  <si>
    <t>PV-10</t>
  </si>
  <si>
    <t>LANÇAMENTO 02</t>
  </si>
  <si>
    <t>ALA-05</t>
  </si>
  <si>
    <t>ALA-06</t>
  </si>
  <si>
    <t>LANÇAMENTO CANAL</t>
  </si>
  <si>
    <t>Rede DN400 (BL-PV)</t>
  </si>
  <si>
    <t>LANÇ. NO CANAL</t>
  </si>
  <si>
    <t>Rede DN600 (PV-Lanç. No Canal)</t>
  </si>
  <si>
    <t>Fórmula: Extensão total x Largura</t>
  </si>
  <si>
    <t>Fórmula: Área x Espessura x Empolamento x DMT</t>
  </si>
  <si>
    <t>Fórmula: Volume bota fora x empolamento</t>
  </si>
  <si>
    <t>Fórmula: Volume substituição solo x Empolamento</t>
  </si>
  <si>
    <t>Volume Bota fora</t>
  </si>
  <si>
    <t>Vol. Substituição solo</t>
  </si>
  <si>
    <t>Fórmula: Volume carregado x DMT</t>
  </si>
  <si>
    <t>Percentual de distribuição</t>
  </si>
  <si>
    <t>OBS.: Foi considerado 20% de reaterro manual e 80% de reaterro com equipamento mecânico.</t>
  </si>
  <si>
    <t>Avenidas 01 e 02</t>
  </si>
  <si>
    <t>Volume reforço pedra</t>
  </si>
  <si>
    <t>KG/M²    E     DMT MÉDIO DE -</t>
  </si>
  <si>
    <t>T/M³,    E    IMPRIMAÇÃO E PINTURA COM</t>
  </si>
  <si>
    <t>Fórmula: Área x Quantidade</t>
  </si>
  <si>
    <t>Área Total</t>
  </si>
  <si>
    <t xml:space="preserve">Área </t>
  </si>
  <si>
    <t>5.7</t>
  </si>
  <si>
    <t>5.8</t>
  </si>
  <si>
    <t>Volume de aterro</t>
  </si>
  <si>
    <t>Percentual de aproveitamento</t>
  </si>
  <si>
    <t>Volume de empréstimo</t>
  </si>
  <si>
    <t>Ruas A e B</t>
  </si>
  <si>
    <t>Ruas A e B (Revestimento talude do cancal)</t>
  </si>
  <si>
    <t>Obs.: 1 container para gestão e administração da obra, 1 container para fiscalização</t>
  </si>
  <si>
    <t>1.11</t>
  </si>
  <si>
    <t>1.12</t>
  </si>
  <si>
    <t>MOB-002</t>
  </si>
  <si>
    <t>MOBILIZAÇÃO E DESMOBILIZAÇÃO DE OBRA - PARA OBRAS EXECUTADAS EM CENTROS URBANOS OU PRÓXIMOS DE CENTROS URBANOS</t>
  </si>
  <si>
    <t>1.13</t>
  </si>
  <si>
    <t>Largura da pista</t>
  </si>
  <si>
    <t>Comprimento da pista</t>
  </si>
  <si>
    <t>Espessura do reforço</t>
  </si>
  <si>
    <t>Tempo total</t>
  </si>
  <si>
    <t>Fórmula: Volume escavado x Empolamento x DMT</t>
  </si>
  <si>
    <t>Desconto volume solo com água</t>
  </si>
  <si>
    <t>Escavação em solo com embaraço d'água para regularização do canal das Avenidas 1 e 2 e Ruas A e B.</t>
  </si>
  <si>
    <t>Volume bota fora</t>
  </si>
  <si>
    <t>Regularização no canal</t>
  </si>
  <si>
    <t>Fórmula: (Área Seção Projetada - Área Seção Natural) x Extensão</t>
  </si>
  <si>
    <t>SUB-BASE DE SOLO-BICA CORRIDA A 33% DE BICA CORRIDA COM MISTURA NA PISTA, COMPACTADO NA ENERGIA DO PROCTOR INTERMEDIÁRIO (EXECUÇÃO, INCLUINDO FORNECIMENTO DA BICA CORRIDA, ESCAVAÇÃO E CARGA DO MATERIAL DE JAZIDA, UMIDECIMENTO, HOMOGENIZAÇÃO E COMPACTAÇÃO DA MISTURA)</t>
  </si>
  <si>
    <t>CBUQ (m³)</t>
  </si>
  <si>
    <t>PROTEÇÃO SUPERFICIAL DE CANAL EM GABIÃO TIPO COLCHÃO, ALTURA DE 17 CENTÍMETROS, ENCHIMENTO COM PEDRA DE MÃO TIPO RACHÃO - FORNECIMENTO E EXECUÇÃO.</t>
  </si>
  <si>
    <t>Extensão</t>
  </si>
  <si>
    <t>Fórmula: Extensão x Largura</t>
  </si>
  <si>
    <t>Largura (1 lado)</t>
  </si>
  <si>
    <t>37+17,07</t>
  </si>
  <si>
    <t>Av. 01 e 02 e Ruas A e B</t>
  </si>
  <si>
    <t>29+6,53</t>
  </si>
  <si>
    <t>9+0,00</t>
  </si>
  <si>
    <t>12+0,00</t>
  </si>
  <si>
    <t>16+0,00</t>
  </si>
  <si>
    <t>Ruas A e B - ligação</t>
  </si>
  <si>
    <t>Via Noroeste Rotatória L.D</t>
  </si>
  <si>
    <t>Via Noroeste Rotatória L.E</t>
  </si>
  <si>
    <t>28+976 à 34+5,29</t>
  </si>
  <si>
    <t>0+0,00 à 29+6,53</t>
  </si>
  <si>
    <t>0+0,00 à 37+17,07</t>
  </si>
  <si>
    <t>PROJ GEOM 08/08</t>
  </si>
  <si>
    <t>PROJ GEOM 03/08</t>
  </si>
  <si>
    <t>PROJ GEOM 07/08</t>
  </si>
  <si>
    <t>Fórmula: Largura x Comprimento x Espessura</t>
  </si>
  <si>
    <t>Avenidas 01 e 02 e Ruas A e B</t>
  </si>
  <si>
    <t>Av. 01 e 02 (Revestimento talude do cancal)</t>
  </si>
  <si>
    <t>Av. 01 e 02 e Ruas A e B (Revestimento talude do cancal)</t>
  </si>
  <si>
    <t>3.1</t>
  </si>
  <si>
    <t>4.2</t>
  </si>
  <si>
    <t>4.3</t>
  </si>
  <si>
    <t>4.4</t>
  </si>
  <si>
    <t>4.6</t>
  </si>
  <si>
    <t>4.7</t>
  </si>
  <si>
    <t>4.8</t>
  </si>
  <si>
    <t>5.9</t>
  </si>
  <si>
    <t>5.11</t>
  </si>
  <si>
    <t>5.12</t>
  </si>
  <si>
    <t>5.13</t>
  </si>
  <si>
    <t>5.14</t>
  </si>
  <si>
    <t>5.15</t>
  </si>
  <si>
    <t>5.16</t>
  </si>
  <si>
    <t>5.17</t>
  </si>
  <si>
    <t>5.18</t>
  </si>
  <si>
    <t>5.19</t>
  </si>
  <si>
    <t>5.20</t>
  </si>
  <si>
    <t>5.21</t>
  </si>
  <si>
    <t>5.22</t>
  </si>
  <si>
    <t>5.23</t>
  </si>
  <si>
    <t>5.24</t>
  </si>
  <si>
    <t>5.25</t>
  </si>
  <si>
    <t>5.26</t>
  </si>
  <si>
    <t>5.27</t>
  </si>
  <si>
    <t>5.28</t>
  </si>
  <si>
    <t>5.29</t>
  </si>
  <si>
    <t>Não apagar esta coluna</t>
  </si>
  <si>
    <t>Fórmula: Quantidade x Nº de meses</t>
  </si>
  <si>
    <t>Nº de meses</t>
  </si>
  <si>
    <t>Obs.: Volume total de corte conforme planilha de cubação em projeto.</t>
  </si>
  <si>
    <t>Fórmula: Volume de aterro x Percentual de aproveitamento</t>
  </si>
  <si>
    <t>Fórmula: Volume x Empolamento x DMT</t>
  </si>
  <si>
    <t>Obs.: Volume total de aterro conforme planilha de cubação em projeto.</t>
  </si>
  <si>
    <t>Volume de reaterro</t>
  </si>
  <si>
    <t>Fórmula: Volume de reaterro x Percentual de distribuição</t>
  </si>
  <si>
    <t>Fórmula: Largura x Comprimento x Espessura x Empolamento</t>
  </si>
  <si>
    <t>Fórmula: Volume reforço pedra x DMT</t>
  </si>
  <si>
    <t>Fórmula: Volume sub-base e base x DMT</t>
  </si>
  <si>
    <t>Fórmula: Largura x Comprimento</t>
  </si>
  <si>
    <t>*Áreas conforme projeto</t>
  </si>
  <si>
    <t>Canteiro Central*</t>
  </si>
  <si>
    <t>Rotatória 01*</t>
  </si>
  <si>
    <t>PLANILHA ORÇAMENTÁRIA DE CUSTOS</t>
  </si>
  <si>
    <t>CREA</t>
  </si>
  <si>
    <t>TOTAL GERAL DA OBRA</t>
  </si>
  <si>
    <t>PREÇO TOTAL</t>
  </si>
  <si>
    <t>PREÇO UNITÁRIO C/ LDI</t>
  </si>
  <si>
    <t>PREÇO UNITÁRIO S/ LDI</t>
  </si>
  <si>
    <t>QUANTIDADE</t>
  </si>
  <si>
    <t>DIRETA</t>
  </si>
  <si>
    <t>(    )</t>
  </si>
  <si>
    <t xml:space="preserve">FORMA DE EXECUÇÃO: </t>
  </si>
  <si>
    <t xml:space="preserve">FOLHA Nº: </t>
  </si>
  <si>
    <t>CANTEIRO DE OBRAS</t>
  </si>
  <si>
    <t>IIO-CON-015</t>
  </si>
  <si>
    <t>CONTAINER 6,00 X 2,30 X 2,50 M COM ISOLAMENTO TÉRMICO - ESCRITÓRIO COM AR CONDICIONADO E SANITÁRIO COMPLETO</t>
  </si>
  <si>
    <t>IIO-CON-005</t>
  </si>
  <si>
    <t>IIO-BAR-015</t>
  </si>
  <si>
    <t>BARRACÃO DEPÓSITO E FERRAMENTARIA TIPO I, A = 14,52 M2 (OBRA DE
PEQUENO PORTE, EFETIVO ATÉ 30 HOMENS), INCLUSIVE MOBILIÁRIO -
PADRÃO DEOP</t>
  </si>
  <si>
    <t>IIO-BAR-040</t>
  </si>
  <si>
    <t>BARRACÃO REFEITÓRIO TIPO I, A = 18,15 M2 (OBRA DE MÉDIO PORTE,
EFETIVO DE 30 A 60 HOMENS) - PADRÃO DEOP</t>
  </si>
  <si>
    <t>IIO-BAR-025</t>
  </si>
  <si>
    <t>BARRACÃO INSTALAÇÃO SANITÁRIA TIPO I, A = 14,52 M2 (OBRA DE
PEQUENO PORTE, EFETIVO ATÉ 30 HOMENS) - PADRÃO DEOP</t>
  </si>
  <si>
    <t>IIO-PLA-015</t>
  </si>
  <si>
    <t>FORNECIMENTO E COLOCAÇÃO DE PLACAS DE OBRAS EM CHAPA GALVANIZADA (4,00 X 2,00 M ) SÃO CONFECCIONADAS EM CHAPA GALVANIZADA 26. AS CHAPAS SERÃO AFIXADAS COM REBITES 410 E PARAFUSOS 3/8, EM UMA ESTRUTURA METÁLICA COM VIGA U 2" ENRIJECIDA E METALON 20MMX20MM, SUPORTE EM EUCALIPTO AUTOCLAVADO PINTADAS NE FRENTE E NO VERSO COM FUNDO ANTICORROSIVO E TINTA AUTOMOTIVA, CONFORME MANUAL DE IDENTIDADE VISUAL DO GOVERNO DE MINAS</t>
  </si>
  <si>
    <t>IIO-SIN-015</t>
  </si>
  <si>
    <t>CONE EM PVC H = 75 CM</t>
  </si>
  <si>
    <t>IIO-SIN-010</t>
  </si>
  <si>
    <t>FITA ZEBRADA AMARELA PARA SINALIZAÇÃO L = 7 M</t>
  </si>
  <si>
    <t>IIO-LIG-010</t>
  </si>
  <si>
    <t>LIGAÇÃO PROVISÓRIA DE LUZ E FORÇA-PADRÃO PROVISÓRIO 30KVA</t>
  </si>
  <si>
    <t>IIO-LIG-005</t>
  </si>
  <si>
    <t>LIGAÇÃO PREDIAL DE ÁGUA 1/2" CAVALETE SIMPLES - COPASA</t>
  </si>
  <si>
    <t>LIGACAO PROVISORIA DE ESGOTO</t>
  </si>
  <si>
    <t>IIO-TAP-005</t>
  </si>
  <si>
    <t>TAPUME EM CHAPA COMPENSADO DE 12 MM E PONTALETES H = 2,20 M</t>
  </si>
  <si>
    <t>ADMINISTRAÇÃO LOCAL</t>
  </si>
  <si>
    <t>ADMINISTRAÇÃO LOCAL DA OBRA</t>
  </si>
  <si>
    <t>LOCAÇÃO DA OBRA</t>
  </si>
  <si>
    <t>TERRAPLENAGEM</t>
  </si>
  <si>
    <t>LOC-TOP-015</t>
  </si>
  <si>
    <t>LOCAÇÃO TOPOGRÁFICA ACIMA DE 50 PONTOS</t>
  </si>
  <si>
    <t>PT</t>
  </si>
  <si>
    <t>OBR-VIA-005</t>
  </si>
  <si>
    <t>DESMATAMENTO, DESTOCAMENTO E LIMPEZA DE ÁRVORES, ARBUSTOS E
VEGETAÇÃO RASTEIRA E = 30 CM</t>
  </si>
  <si>
    <t>OBR-VIA-015</t>
  </si>
  <si>
    <t>TRA-CAM-020</t>
  </si>
  <si>
    <t>TRA-CAM-015</t>
  </si>
  <si>
    <t>TRANSPORTE DE MATERIAL DE QUALQUER NATUREZA EM CAMINHÃO 2 KM &lt; DMT &lt;= 5 KM (DENTRO DO PERÍMETRO URBANO) - EMPRÉSTIMO</t>
  </si>
  <si>
    <t>TRANSPORTE DE MATERIAL DE QUALQUER NATUREZA EM CAMINHÃO DMT &gt; 5 KM (DENTRO DO PERÍMETRO URBANO) - BOTA FORA</t>
  </si>
  <si>
    <t>TER-ATE-020</t>
  </si>
  <si>
    <t>ATERRO COMPACTADO COM ROLO VIBRATÓRIO A 95% DO P.N.</t>
  </si>
  <si>
    <t>LOC-TOP-010</t>
  </si>
  <si>
    <t>LOCAÇÃO TOPOGRÁFICA DE 20 A 50 PONTOS</t>
  </si>
  <si>
    <t>0-2</t>
  </si>
  <si>
    <t>50 0-2</t>
  </si>
  <si>
    <t>2-8</t>
  </si>
  <si>
    <t>50 2-8</t>
  </si>
  <si>
    <t>75 0-2</t>
  </si>
  <si>
    <t>75 2-8</t>
  </si>
  <si>
    <t>100 0-2</t>
  </si>
  <si>
    <t>100 2-8</t>
  </si>
  <si>
    <t>150 0-2</t>
  </si>
  <si>
    <t>150 2-8</t>
  </si>
  <si>
    <t>200 0-2</t>
  </si>
  <si>
    <t>200 2-8</t>
  </si>
  <si>
    <t>250 0-2</t>
  </si>
  <si>
    <t>250 2-8</t>
  </si>
  <si>
    <t>300 0-2</t>
  </si>
  <si>
    <t>300 2-8</t>
  </si>
  <si>
    <t>350 0-2</t>
  </si>
  <si>
    <t>350 2-8</t>
  </si>
  <si>
    <t>400 0-2</t>
  </si>
  <si>
    <t>400 2-8</t>
  </si>
  <si>
    <t>500 0-2</t>
  </si>
  <si>
    <t>500 2-8</t>
  </si>
  <si>
    <t>600 0-2</t>
  </si>
  <si>
    <t>600 2-8</t>
  </si>
  <si>
    <t>700 0-2</t>
  </si>
  <si>
    <t>700 2-8</t>
  </si>
  <si>
    <t>800 0-2</t>
  </si>
  <si>
    <t>800 2-8</t>
  </si>
  <si>
    <t>900 0-2</t>
  </si>
  <si>
    <t>900 2-8</t>
  </si>
  <si>
    <t>1000 0-2</t>
  </si>
  <si>
    <t>1000 2-8</t>
  </si>
  <si>
    <t>1200 0-2</t>
  </si>
  <si>
    <t>1200 2-8</t>
  </si>
  <si>
    <t>1500 0-2</t>
  </si>
  <si>
    <t>1500 2-8</t>
  </si>
  <si>
    <t>1800 0-2</t>
  </si>
  <si>
    <t>1800 2-8</t>
  </si>
  <si>
    <t>2100 0-2</t>
  </si>
  <si>
    <t>2100 2-8</t>
  </si>
  <si>
    <t>2500 0-2</t>
  </si>
  <si>
    <t>2500 2-8</t>
  </si>
  <si>
    <t>TER-ECR-010</t>
  </si>
  <si>
    <t>ESCORAMENTO DE VALA TIPO DESCONTÍNUO EMPREGANDO PRANCHAS E
LONGARINAS DE PEROBA</t>
  </si>
  <si>
    <t>TER-ECR-005</t>
  </si>
  <si>
    <t>ESCORAMENTO DE VALA TIPO CONTÍNUO EMPREGANDO PRANCHAS E
LONGARINAS DE PEROBA</t>
  </si>
  <si>
    <t>TER-ESC-055</t>
  </si>
  <si>
    <t>ESCAVAÇÃO MECÂNICA DE VALAS COM DESCARGA LATERAL H &lt;= 1,50 M</t>
  </si>
  <si>
    <t>TER-ESC-060</t>
  </si>
  <si>
    <t>TRA-CAR-010</t>
  </si>
  <si>
    <t>TER-REG-010</t>
  </si>
  <si>
    <t>REGULARIZAÇÃO E COMPACTAÇÃO DE TERRENO COM PLACA VIBRATÓRIA</t>
  </si>
  <si>
    <t>CARGA DE MATERIAL DE QUALQUER NATUREZA SOBRE CAMINHÃO - MECÂNICA</t>
  </si>
  <si>
    <t>TER-REA-005</t>
  </si>
  <si>
    <t>REATERRO MANUAL DE VALA</t>
  </si>
  <si>
    <t>TER-REA-010</t>
  </si>
  <si>
    <t>REATERRO COMPACTADO DE VALA COM EQUIPAMENTO PLACA VIBRATÓRIA</t>
  </si>
  <si>
    <t>DRE-CON-005</t>
  </si>
  <si>
    <t>CONCRETO PARA BERÇO DE REDE TUBULAR TRAÇO 1:3:6, INCLUSIVE LANÇAMENTO</t>
  </si>
  <si>
    <t>DRE-FOR-005</t>
  </si>
  <si>
    <t>FORMA PARA BERÇO EM TABUA, INCLUSIVE DESFORMA</t>
  </si>
  <si>
    <t>DRE-TUB-065</t>
  </si>
  <si>
    <t>FORNECIMENTO, ASSENTAMENTO E REJUNTAMENTO DE TUBO DE
CONCRETO ARMADO PA1 D = 400 MM</t>
  </si>
  <si>
    <t>DRE-TUB-075</t>
  </si>
  <si>
    <t>FORNECIMENTO, ASSENTAMENTO E REJUNTAMENTO DE TUBO DE
CONCRETO ARMADO PA1 D = 600 MM</t>
  </si>
  <si>
    <t>DRE-TUB-080</t>
  </si>
  <si>
    <t>FORNECIMENTO, ASSENTAMENTO E REJUNTAMENTO DE TUBO DE CONCRETO ARMADO PA1 D = 800 MM</t>
  </si>
  <si>
    <t>DRE-CHA-010</t>
  </si>
  <si>
    <t>CHAMINÉ DE POÇO DE VISITA TIPO "B", EM ANEL DE CONCRETO CA-1 COM DEGRAUS DE AÇO CA-50</t>
  </si>
  <si>
    <t>DRE-POÇ-005</t>
  </si>
  <si>
    <t>POÇO DE VISITA PARA REDE TUBULAR TIPO A DN 500, EXCLUSIVE ESCAVAÇÃO, REATERRO E BOTA FORA</t>
  </si>
  <si>
    <t>DRE-POÇ-010</t>
  </si>
  <si>
    <t>POÇO DE VISITA PARA REDE TUBULAR TIPO A DN 600, EXCLUSIVE ESCAVAÇÃO, REATERRO E BOTA FORA</t>
  </si>
  <si>
    <t>DRE-POÇ-025</t>
  </si>
  <si>
    <t>DRE-TAM-005</t>
  </si>
  <si>
    <t>TAMPÃO DE FERRO FUNDIDO PARA POÇO DE VISITA</t>
  </si>
  <si>
    <t>DRE-BOC-010</t>
  </si>
  <si>
    <t>BOCA DE LOBO SIMPLES (TIPO B - CONCRETO), QUADRO, GRELHA E CANTONEIRA, INCLUSIVE ESCAVAÇÃO, REATERRO E BOTA-FORA</t>
  </si>
  <si>
    <t>POÇO DE VISITA PARA REDE TUBULAR TIPO A DN 800, EXCLUSIVE ESCAVAÇÃO, REATERRO E BOTA FORA</t>
  </si>
  <si>
    <t>DRE-BOC-015</t>
  </si>
  <si>
    <t>BOCA DE LOBO DUPLA (TIPO B - CONCRETO), QUADRO, GRELHA E
CANTONEIRA, INCLUSIVE ESCAVAÇÃO, REATERRO E BOTA-FORA</t>
  </si>
  <si>
    <t>DRE-ALA-010</t>
  </si>
  <si>
    <t>ALA DE REDE TUBULAR DN 600, EXCLUSIVE BOTA FORA</t>
  </si>
  <si>
    <t>DRE-ALA-020</t>
  </si>
  <si>
    <t>ALA DE REDE TUBULAR DN 800, EXCLUSIVE BOTA FORA</t>
  </si>
  <si>
    <t>DRENAGEM</t>
  </si>
  <si>
    <t>OBRAS COMPLEMENTARES</t>
  </si>
  <si>
    <t>URBANIZAÇÃO E PAISAGISMO</t>
  </si>
  <si>
    <t>SINALIZAÇÃO</t>
  </si>
  <si>
    <t>ENR-PED-005</t>
  </si>
  <si>
    <t>ENROCAMENTO COM PEDRA DE MÃO JOGADA, INCLUSIVE FORNECIMENTO</t>
  </si>
  <si>
    <t>TRANSPORTE DE MATERIAL DE QUALQUER NATUREZA EM CAMINHÃO DMT &gt; 5 KM (DENTRO DO PERÍMETRO URBANO) - PEDRA</t>
  </si>
  <si>
    <t>TRANSPORTE DE MATERIAL DE QUALQUER NATUREZA EM CAMINHÃO DMT &gt; 5 KM (DENTRO DO PERÍMETRO URBANO) - BASE E SUB-BASE</t>
  </si>
  <si>
    <t>OBR-VIA-160</t>
  </si>
  <si>
    <t>EXECUÇÃO DE IMPRIMAÇÃO COM MATERIAL BETUMINOSO, INCLUINDO FORNECIMENTO E TRANSPORTE DO MATERIAL BETUMINOSO DENTRO DO CANTEIRO DE OBRAS, EXCLUSIVE TRANSPORTE DO MATERIAL BETUMINOSO ATÉ A USINA</t>
  </si>
  <si>
    <t>OBR-VIA-165</t>
  </si>
  <si>
    <t>EXECUÇÃO DE PINTURA DE LIGAÇÃO COM MATERIAL BETUMINOSO, INCLUINDO FORNECIMENTO E TRANSPORTE DO MATERIAL BETUMINOSO DENTRO DO CANTEIRO DE OBRAS, EXCLUSIVE TRANSPORTE DO MATERIAL BETUMINOSO ATÉ A USINA</t>
  </si>
  <si>
    <t>OBR-VIA-180</t>
  </si>
  <si>
    <t>EXECUÇÃO DE CONCRETO BETUMINOSO USINADO A QUENTE (CBUQ) COM MATERIAL BETUMINOSO, INCLUINDO FORNECIMENTO DOS AGREGADOS E TRANSPORTE DO MATERIAL BETUMINOSO DENTRO DO CANTEIRO DE OBRAS, EXCLUSIVE TRANSPORTE DO MATERIAL BETUMINOSO E AGREGADOS ATÉ A USINA</t>
  </si>
  <si>
    <t>6.13</t>
  </si>
  <si>
    <t>Vol. pedra transportado</t>
  </si>
  <si>
    <t>Vol. sub-base e base</t>
  </si>
  <si>
    <t>TXKM</t>
  </si>
  <si>
    <t>TRANSPORTE DE MATERIAL ASFALTICO, COM CAMINHÃO COM CAPACIDADE DE 20000 L EM RODOVIA PAVIMENTADA PARA DISTÂNCIAS MÉDIAS DE TRANSPORTE IGUAL OU INFERIOR A 100 KM</t>
  </si>
  <si>
    <t>URB-PAS-005</t>
  </si>
  <si>
    <t>PASSEIOS DE CONCRETO E = 8 CM, FCK = 15 MPA PADRÃO PREFEITURA</t>
  </si>
  <si>
    <t>URB-MFC-010</t>
  </si>
  <si>
    <t>MEIO-FIO DE CONCRETO PRÉ-MOLDADO TIPO B - (12 X 18 X 45) CM, INCLUSIVE ESCAVAÇÃO E REATERRO</t>
  </si>
  <si>
    <t>DRE-SAR-010</t>
  </si>
  <si>
    <t>SARJETA TIPO 2 - 50 X 5 CM, I = 15 %, PADRÃO DEOP-MG</t>
  </si>
  <si>
    <t>URB-RAM-005</t>
  </si>
  <si>
    <t xml:space="preserve">RAMPA PARA ACESSO DE DEFICIENTE, EM CONCRETO SIMPLES FCK = 25
MPA, DESEMPENADA, COM PINTURA INDICATIVA, 02 DEMÃOS </t>
  </si>
  <si>
    <t>PIS-LAD-010</t>
  </si>
  <si>
    <t>PISO DE LADRILHO HIDRÁULICO 20 X 20 CM, DE UMA COR</t>
  </si>
  <si>
    <t>PAI-GRA-015</t>
  </si>
  <si>
    <t>PLANTIO DE GRAMA ESMERALDA EM PLACAS, INCLUSIVE TERRA VEGETAL E
CONSERVAÇÃO POR 30 DIAS</t>
  </si>
  <si>
    <t>PAI-COV-010</t>
  </si>
  <si>
    <t>PLANTIO E PREPARO DE COVAS DE ARBUSTOS ORNAMENTAIS EM GERAL, EXCETO FORNECIMENTO DAS MUDAS</t>
  </si>
  <si>
    <t>8.4</t>
  </si>
  <si>
    <t>8.5</t>
  </si>
  <si>
    <t>PAI-COV-005</t>
  </si>
  <si>
    <t>PLANTIO E PREPARO DE COVAS DE ÁRVORES H MÍN. = 1,80 M COM COVA 60 X 60 X 60 CM, EXCETO FORNECIMENTO DAS MUDAS</t>
  </si>
  <si>
    <t>8.6</t>
  </si>
  <si>
    <t>FORNECIMENTO DE ÁRVORE - IPÊ ROSA</t>
  </si>
  <si>
    <t>PAI-MUD-010</t>
  </si>
  <si>
    <t>PAI-MUD-030</t>
  </si>
  <si>
    <t>FORNECIMENTO DE FORRAÇÃO - ALCALYPHA</t>
  </si>
  <si>
    <t>PAI-MUD-040</t>
  </si>
  <si>
    <t>FORNECIMENTO DE FORRAÇÃO - CLOROFITO</t>
  </si>
  <si>
    <t>92755-SINAPI</t>
  </si>
  <si>
    <t>93177-SINAPI</t>
  </si>
  <si>
    <t>73711-SINAPI</t>
  </si>
  <si>
    <t>83342-SINAPI</t>
  </si>
  <si>
    <t>83341-SINAPI</t>
  </si>
  <si>
    <t>76451/001 -SINAPI</t>
  </si>
  <si>
    <t>73916/002- SINAPI</t>
  </si>
  <si>
    <t>72947-SINAPI</t>
  </si>
  <si>
    <t>4 S 06 200 01-DNIT</t>
  </si>
  <si>
    <t>41113-DER</t>
  </si>
  <si>
    <t>CPU 01-ANEXO</t>
  </si>
  <si>
    <t>PREÇO UNITÁRIO (R$)</t>
  </si>
  <si>
    <t>QUANT. TOTAL</t>
  </si>
  <si>
    <t>R$ TOTAL</t>
  </si>
  <si>
    <t>SEGURANÇA DO TRABALHO</t>
  </si>
  <si>
    <t>Técnico de Segurança do Trabalho (com encargos complementares)*</t>
  </si>
  <si>
    <t>mês</t>
  </si>
  <si>
    <t>Engenherio de Segurança do Trabalho (com encargos complementares)</t>
  </si>
  <si>
    <t>Auxiliar de Enfermagem do Trabalho*</t>
  </si>
  <si>
    <t>Médico do Trabalho*</t>
  </si>
  <si>
    <t>GARANTIA E CONTROLE DE QUALIDADE</t>
  </si>
  <si>
    <t>90776-SINAPI</t>
  </si>
  <si>
    <t>Encarregado da Qualidade/Técnico (com encargos complementares)</t>
  </si>
  <si>
    <t>CON-COR-090</t>
  </si>
  <si>
    <t>Engenheiro de Qualidade/Coordenador (SEM encargos complementares)</t>
  </si>
  <si>
    <t>VIS-CAD-030</t>
  </si>
  <si>
    <t>Auxiliar Técnico de Qualidade (com encargos complementares)*</t>
  </si>
  <si>
    <t>MEIO AMBIENTE</t>
  </si>
  <si>
    <t>Engenheiro do Meio Ambiente/Coordenador (com encargos complementares)</t>
  </si>
  <si>
    <t>Auxiliar Técnico do Meio Ambiente (com encargos complementares)</t>
  </si>
  <si>
    <t>SECÃO TÉCNICA</t>
  </si>
  <si>
    <t>Encarregado Geral (Seção Técnica) (com encargos complementares)</t>
  </si>
  <si>
    <t>Encarregado de S.T. (Medição) (com encargos complementares)</t>
  </si>
  <si>
    <t>Técnico de Edificação (com encargos complementares)</t>
  </si>
  <si>
    <t>Auxiliar Técnico (com encargos complementares)</t>
  </si>
  <si>
    <t>Apropriador (com encargos complementares)</t>
  </si>
  <si>
    <t>90767-SINAPI</t>
  </si>
  <si>
    <t>Apontador (com encargos complementares)</t>
  </si>
  <si>
    <t>Desenhista/Cadista (com encargos complementares)</t>
  </si>
  <si>
    <t>MÃO DE OBRA ADMINISTRATIVA</t>
  </si>
  <si>
    <t>Encarregado de Pessoal (com encargos complementares)*</t>
  </si>
  <si>
    <t>Assistente/Auxiliar Administrativo (com encargos complementares)</t>
  </si>
  <si>
    <t>Encarregado de Almoxarifado (com encargos complementares)</t>
  </si>
  <si>
    <t>Almoxarife (com encargos complementares)</t>
  </si>
  <si>
    <t>Comprador (com encargos complementares)*</t>
  </si>
  <si>
    <t>Ferramenteiro/Ajudante (com encargos complementares)</t>
  </si>
  <si>
    <t>Recepcioniista/Ajudante (com encargos complementares)</t>
  </si>
  <si>
    <t>Motorista (com encargos complementares)</t>
  </si>
  <si>
    <t>Faxineira/Copeira/Servente (com encargos complementares)</t>
  </si>
  <si>
    <t>Mensageiro/Ajudante</t>
  </si>
  <si>
    <t>Vigia noturno (com encargos complementares)</t>
  </si>
  <si>
    <t>Ajudante de Apoio (com encargos complementares)</t>
  </si>
  <si>
    <t>PRODUÇÃO</t>
  </si>
  <si>
    <t>Gerente de Contrato/(Engenheiro Master A) (com encargos complementares)</t>
  </si>
  <si>
    <t>Gerente de Produção/Engenheiro Master B) (com encargos complementares)</t>
  </si>
  <si>
    <t>Gerente de Planejamento/Engenheiro Master B) (com encargos complementares)</t>
  </si>
  <si>
    <t>Engenheiro de Produção (com encargos complementares)</t>
  </si>
  <si>
    <t>Engenheiro de Medição e Custos (com encargos complementares)</t>
  </si>
  <si>
    <t>Mestre de Obras (com encargos complementares)</t>
  </si>
  <si>
    <t>Encarregados de Obras (com encargos complementares)</t>
  </si>
  <si>
    <t>Topográfo (com encargos complementares)</t>
  </si>
  <si>
    <t>Nivelador (com encargos complementares)</t>
  </si>
  <si>
    <t>Laboratorista (com encargos complementares)</t>
  </si>
  <si>
    <t>Total Geral da Administração Local da Obra:</t>
  </si>
  <si>
    <t>Orientações para elaboração de planilhas orçamentárias de obras públicas / Tribunal de Contas da União, Coordenação-Geral de Controle
Externo da Área de Infraestrutura e da Região Sudeste. – Brasília : TCU, 2014.</t>
  </si>
  <si>
    <t>88255-SINAPI</t>
  </si>
  <si>
    <t>88321-SINAPI</t>
  </si>
  <si>
    <t>88326-SINAPI</t>
  </si>
  <si>
    <t>Jesus Cunha Gonçalves       Crea/SP: 99.095/D</t>
  </si>
  <si>
    <t>REGIÃO/MÊS DE REFERÊNCIA: Região Sul, junho/2016</t>
  </si>
  <si>
    <t>PRAZO DE EXECUÇÃO: 4 Meses</t>
  </si>
  <si>
    <t>LDI:</t>
  </si>
  <si>
    <t>OBRA: Pavimentação e Drenagem da Via Noroeste 1º Etapa</t>
  </si>
  <si>
    <t>CRONOGRAMA FÍSICO-FINANCEIRO</t>
  </si>
  <si>
    <t xml:space="preserve">VALOR DO CONVÊNIO: </t>
  </si>
  <si>
    <t>ETAPAS/DESCRIÇÃO</t>
  </si>
  <si>
    <t>FÍSICO/ FINANCEIRO</t>
  </si>
  <si>
    <t>TOTAL  ETAPAS</t>
  </si>
  <si>
    <t>MÊS 1</t>
  </si>
  <si>
    <t>MÊS 2</t>
  </si>
  <si>
    <t>MÊS 3</t>
  </si>
  <si>
    <t>MÊS 4</t>
  </si>
  <si>
    <t>MÊS 5</t>
  </si>
  <si>
    <t>MÊS 6</t>
  </si>
  <si>
    <t>IIO-001</t>
  </si>
  <si>
    <t>Físico %</t>
  </si>
  <si>
    <t>Financeiro</t>
  </si>
  <si>
    <t>OBR-001</t>
  </si>
  <si>
    <t>DRE-001</t>
  </si>
  <si>
    <t>URB-001</t>
  </si>
  <si>
    <t xml:space="preserve"> </t>
  </si>
  <si>
    <t>Observações:</t>
  </si>
  <si>
    <t>TER-001</t>
  </si>
  <si>
    <t>ADM</t>
  </si>
  <si>
    <t>SIN</t>
  </si>
  <si>
    <t>PREFEITURA: Prefeitura Municipal de Pouso Alegre</t>
  </si>
  <si>
    <t>ESCAVAÇÃO E CARGA COM TRATOR E CARREGADEIRA (MATERIAL DE 1ª CATEGORIA)</t>
  </si>
  <si>
    <t>ESCAVAÇÃO MECÂNICA DE VALAS COM DESCARGA LATERAL 1,50 M &lt; H &lt;= 3,00 M</t>
  </si>
  <si>
    <t>MEMÓRIA DE PAVIMENTAÇÃO</t>
  </si>
  <si>
    <t>MEMÓRIA DE DRENAGEM</t>
  </si>
  <si>
    <t>20318/D-MG</t>
  </si>
  <si>
    <t>WELLINGTON PINHEIRO SERRA</t>
  </si>
  <si>
    <t>LOCAL: Av. Noroeste, Bairro Ribeirão das Mortes</t>
  </si>
  <si>
    <t>AGNALDO PERUGINI</t>
  </si>
  <si>
    <t>QUADRO DE COMPOSIÇÃO DO INVESTIMENTO</t>
  </si>
  <si>
    <t>DATA-BASE:</t>
  </si>
  <si>
    <t>DESCRIÇÃO DOS SERVIÇOS</t>
  </si>
  <si>
    <t>UNIÃO (R$)</t>
  </si>
  <si>
    <t>CONTRAPARTIDA (R$)</t>
  </si>
  <si>
    <t>gb.</t>
  </si>
  <si>
    <t>TOTAL GERAL:</t>
  </si>
  <si>
    <t>Pouso Alegre/MG</t>
  </si>
  <si>
    <t>junho/16</t>
  </si>
  <si>
    <t>VALOR TOTAL (R$)</t>
  </si>
  <si>
    <t>Largura média</t>
  </si>
  <si>
    <t>ESCAVAÇÃO E CARGA COM TRATOR E CARREGADEIRA (MATERIAL DE 1ª CATEGORIA) - EMPRÉSTIMO</t>
  </si>
  <si>
    <t>ESCAVAÇÃO E CARGA COM TRATOR E CARREGADEIRA (MATERIAL DE 1ª
CATEGORIA) - BOTA FORA</t>
  </si>
  <si>
    <t>DATA: 10/11/2016</t>
  </si>
</sst>
</file>

<file path=xl/styles.xml><?xml version="1.0" encoding="utf-8"?>
<styleSheet xmlns="http://schemas.openxmlformats.org/spreadsheetml/2006/main">
  <numFmts count="14">
    <numFmt numFmtId="43" formatCode="_-* #,##0.00_-;\-* #,##0.00_-;_-* &quot;-&quot;??_-;_-@_-"/>
    <numFmt numFmtId="164" formatCode="_(* #,##0.00_);_(* \(#,##0.00\);_(* &quot;-&quot;??_);_(@_)"/>
    <numFmt numFmtId="165" formatCode="_(&quot;R$ &quot;* #,##0.00_);_(&quot;R$ &quot;* \(#,##0.00\);_(&quot;R$ &quot;* &quot;-&quot;??_);_(@_)"/>
    <numFmt numFmtId="166" formatCode="_([$€]* #,##0.00_);_([$€]* \(#,##0.00\);_([$€]* &quot;-&quot;??_);_(@_)"/>
    <numFmt numFmtId="167" formatCode="_(* #,##0_);_(* \(#,##0\);_(* &quot;-&quot;??_);_(@_)"/>
    <numFmt numFmtId="168" formatCode="_(* #,##0.000_);_(* \(#,##0.000\);_(* &quot;-&quot;??_);_(@_)"/>
    <numFmt numFmtId="169" formatCode="#,##0.0000000"/>
    <numFmt numFmtId="170" formatCode="00"/>
    <numFmt numFmtId="171" formatCode="00.##"/>
    <numFmt numFmtId="172" formatCode="0\ &quot;Sinapi&quot;"/>
    <numFmt numFmtId="173" formatCode="&quot;R$ &quot;#,##0.00"/>
    <numFmt numFmtId="174" formatCode="0.0000%"/>
    <numFmt numFmtId="175" formatCode="[$-416]d\ \ mmmm\,\ yyyy;@"/>
    <numFmt numFmtId="176" formatCode="_(* #,##0.00_);_(* \(#,##0.00\);_(* \-??_);_(@_)"/>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sz val="10"/>
      <name val="Times New Roman"/>
      <family val="1"/>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name val="Arial"/>
      <family val="2"/>
    </font>
    <font>
      <sz val="10"/>
      <name val="Arial"/>
      <family val="2"/>
    </font>
    <font>
      <sz val="11"/>
      <name val="Garamond"/>
      <family val="1"/>
    </font>
    <font>
      <sz val="10"/>
      <name val="Arial"/>
      <family val="2"/>
    </font>
    <font>
      <b/>
      <sz val="9"/>
      <name val="Arial"/>
      <family val="2"/>
    </font>
    <font>
      <b/>
      <sz val="10"/>
      <name val="Cataneo BT"/>
      <family val="4"/>
    </font>
    <font>
      <b/>
      <sz val="8"/>
      <name val="Arial"/>
      <family val="2"/>
    </font>
    <font>
      <b/>
      <sz val="10"/>
      <name val="Courier New"/>
      <family val="3"/>
    </font>
    <font>
      <sz val="10"/>
      <name val="Tahoma"/>
      <family val="2"/>
    </font>
    <font>
      <sz val="11"/>
      <name val="Tahoma"/>
      <family val="2"/>
    </font>
    <font>
      <sz val="12"/>
      <name val="Tahoma"/>
      <family val="2"/>
    </font>
    <font>
      <b/>
      <sz val="12"/>
      <name val="Tahoma"/>
      <family val="2"/>
    </font>
    <font>
      <u/>
      <sz val="12"/>
      <name val="Tahoma"/>
      <family val="2"/>
    </font>
    <font>
      <b/>
      <sz val="11"/>
      <name val="Tahoma"/>
      <family val="2"/>
    </font>
    <font>
      <b/>
      <sz val="10"/>
      <name val="Tahoma"/>
      <family val="2"/>
    </font>
    <font>
      <sz val="11"/>
      <name val="Arial"/>
      <family val="2"/>
    </font>
    <font>
      <sz val="12"/>
      <name val="Times New Roman"/>
      <family val="1"/>
    </font>
    <font>
      <b/>
      <sz val="11"/>
      <name val="Arial"/>
      <family val="2"/>
    </font>
    <font>
      <sz val="12"/>
      <name val="Arial"/>
      <family val="2"/>
    </font>
    <font>
      <b/>
      <sz val="14"/>
      <name val="Tahoma"/>
      <family val="2"/>
    </font>
    <font>
      <sz val="14"/>
      <name val="Tahoma"/>
      <family val="2"/>
    </font>
    <font>
      <sz val="16"/>
      <name val="Arial"/>
      <family val="2"/>
    </font>
    <font>
      <sz val="15"/>
      <name val="Arial"/>
      <family val="2"/>
    </font>
    <font>
      <sz val="15.5"/>
      <name val="Arial"/>
      <family val="2"/>
    </font>
    <font>
      <b/>
      <sz val="16"/>
      <name val="Tahoma"/>
      <family val="2"/>
    </font>
    <font>
      <sz val="11"/>
      <name val="Calibri"/>
      <family val="2"/>
    </font>
    <font>
      <sz val="10"/>
      <name val="Arial"/>
      <family val="2"/>
    </font>
    <font>
      <sz val="11"/>
      <color theme="1"/>
      <name val="Calibri"/>
      <family val="2"/>
      <scheme val="minor"/>
    </font>
    <font>
      <sz val="12"/>
      <color rgb="FFFF0000"/>
      <name val="Tahoma"/>
      <family val="2"/>
    </font>
    <font>
      <sz val="11"/>
      <color theme="1"/>
      <name val="Arial"/>
      <family val="2"/>
    </font>
    <font>
      <b/>
      <sz val="11"/>
      <color theme="1"/>
      <name val="Arial"/>
      <family val="2"/>
    </font>
    <font>
      <b/>
      <sz val="11"/>
      <color theme="1"/>
      <name val="Calibri"/>
      <family val="2"/>
      <scheme val="minor"/>
    </font>
    <font>
      <sz val="11"/>
      <color rgb="FFFF0000"/>
      <name val="Calibri"/>
      <family val="2"/>
      <scheme val="minor"/>
    </font>
    <font>
      <sz val="11"/>
      <name val="Calibri"/>
      <family val="2"/>
      <scheme val="minor"/>
    </font>
    <font>
      <sz val="10"/>
      <color theme="1"/>
      <name val="Arial"/>
      <family val="2"/>
    </font>
    <font>
      <sz val="10"/>
      <color rgb="FFFF0000"/>
      <name val="Arial"/>
      <family val="2"/>
    </font>
    <font>
      <b/>
      <sz val="11"/>
      <name val="Calibri"/>
      <family val="2"/>
    </font>
    <font>
      <sz val="11"/>
      <color indexed="8"/>
      <name val="Arial"/>
      <family val="2"/>
    </font>
    <font>
      <b/>
      <sz val="11"/>
      <color indexed="8"/>
      <name val="Arial"/>
      <family val="2"/>
    </font>
    <font>
      <b/>
      <sz val="16"/>
      <color theme="1"/>
      <name val="Arial"/>
      <family val="2"/>
    </font>
    <font>
      <b/>
      <sz val="16"/>
      <color theme="1"/>
      <name val="Calibri"/>
      <family val="2"/>
      <scheme val="minor"/>
    </font>
    <font>
      <b/>
      <sz val="20"/>
      <color theme="1"/>
      <name val="Arial"/>
      <family val="2"/>
    </font>
    <font>
      <sz val="11"/>
      <color rgb="FFFF0000"/>
      <name val="Arial"/>
      <family val="2"/>
    </font>
    <font>
      <b/>
      <sz val="13"/>
      <name val="Tahoma"/>
      <family val="2"/>
    </font>
    <font>
      <b/>
      <sz val="10"/>
      <color theme="1"/>
      <name val="Arial"/>
      <family val="2"/>
    </font>
    <font>
      <sz val="10"/>
      <color theme="1"/>
      <name val="Calibri"/>
      <family val="2"/>
      <scheme val="minor"/>
    </font>
    <font>
      <b/>
      <sz val="10"/>
      <color theme="1"/>
      <name val="Calibri"/>
      <family val="2"/>
      <scheme val="minor"/>
    </font>
    <font>
      <sz val="14"/>
      <color indexed="8"/>
      <name val="Calibri"/>
      <family val="2"/>
    </font>
    <font>
      <sz val="10"/>
      <color indexed="8"/>
      <name val="Arial"/>
      <family val="2"/>
    </font>
    <font>
      <sz val="8"/>
      <color indexed="8"/>
      <name val="Arial"/>
      <family val="2"/>
    </font>
    <font>
      <b/>
      <sz val="10"/>
      <color indexed="8"/>
      <name val="Arial"/>
      <family val="2"/>
    </font>
    <font>
      <b/>
      <sz val="14"/>
      <color indexed="8"/>
      <name val="Arial"/>
      <family val="2"/>
    </font>
    <font>
      <b/>
      <sz val="12"/>
      <color rgb="FFFF0000"/>
      <name val="Tahoma"/>
      <family val="2"/>
    </font>
    <font>
      <sz val="9"/>
      <name val="Arial"/>
      <family val="2"/>
    </font>
    <font>
      <u/>
      <sz val="8"/>
      <color theme="10"/>
      <name val="Arial"/>
      <family val="2"/>
    </font>
    <font>
      <sz val="10"/>
      <color rgb="FF00FF00"/>
      <name val="Tahoma"/>
      <family val="2"/>
    </font>
    <font>
      <b/>
      <sz val="12"/>
      <color indexed="8"/>
      <name val="Tahoma"/>
      <family val="2"/>
    </font>
    <font>
      <sz val="12"/>
      <color indexed="8"/>
      <name val="Arial"/>
      <family val="2"/>
    </font>
    <font>
      <b/>
      <sz val="14"/>
      <color indexed="8"/>
      <name val="Tahoma"/>
      <family val="2"/>
    </font>
    <font>
      <b/>
      <sz val="14"/>
      <name val="Arial"/>
      <family val="2"/>
    </font>
    <font>
      <b/>
      <sz val="14"/>
      <color indexed="8"/>
      <name val="Calibri"/>
      <family val="2"/>
    </font>
    <font>
      <b/>
      <sz val="16"/>
      <color indexed="8"/>
      <name val="Tahoma"/>
      <family val="2"/>
    </font>
    <font>
      <sz val="12"/>
      <color rgb="FFFF0000"/>
      <name val="Arial"/>
      <family val="2"/>
    </font>
    <font>
      <sz val="10"/>
      <color theme="4" tint="-0.249977111117893"/>
      <name val="Arial"/>
      <family val="2"/>
    </font>
    <font>
      <u/>
      <sz val="7.5"/>
      <color indexed="12"/>
      <name val="Arial"/>
      <family val="2"/>
    </font>
    <font>
      <sz val="10"/>
      <color rgb="FF000000"/>
      <name val="Times New Roman"/>
      <family val="1"/>
    </font>
    <font>
      <b/>
      <sz val="18"/>
      <color indexed="62"/>
      <name val="Cambri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909">
    <xf numFmtId="4" fontId="0" fillId="0" borderId="1">
      <alignment vertical="justify"/>
    </xf>
    <xf numFmtId="0" fontId="10" fillId="2"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5" fillId="3" borderId="0" applyNumberFormat="0" applyBorder="0" applyAlignment="0" applyProtection="0"/>
    <xf numFmtId="0" fontId="10" fillId="4" borderId="0" applyNumberFormat="0" applyBorder="0" applyAlignment="0" applyProtection="0"/>
    <xf numFmtId="0" fontId="5" fillId="4" borderId="0" applyNumberFormat="0" applyBorder="0" applyAlignment="0" applyProtection="0"/>
    <xf numFmtId="0" fontId="10" fillId="5" borderId="0" applyNumberFormat="0" applyBorder="0" applyAlignment="0" applyProtection="0"/>
    <xf numFmtId="0" fontId="5" fillId="5" borderId="0" applyNumberFormat="0" applyBorder="0" applyAlignment="0" applyProtection="0"/>
    <xf numFmtId="0" fontId="10" fillId="6" borderId="0" applyNumberFormat="0" applyBorder="0" applyAlignment="0" applyProtection="0"/>
    <xf numFmtId="0" fontId="5" fillId="6" borderId="0" applyNumberFormat="0" applyBorder="0" applyAlignment="0" applyProtection="0"/>
    <xf numFmtId="0" fontId="10" fillId="7" borderId="0" applyNumberFormat="0" applyBorder="0" applyAlignment="0" applyProtection="0"/>
    <xf numFmtId="0" fontId="5" fillId="7" borderId="0" applyNumberFormat="0" applyBorder="0" applyAlignment="0" applyProtection="0"/>
    <xf numFmtId="0" fontId="10" fillId="9" borderId="0" applyNumberFormat="0" applyBorder="0" applyAlignment="0" applyProtection="0"/>
    <xf numFmtId="0" fontId="5" fillId="9" borderId="0" applyNumberFormat="0" applyBorder="0" applyAlignment="0" applyProtection="0"/>
    <xf numFmtId="0" fontId="10" fillId="10" borderId="0" applyNumberFormat="0" applyBorder="0" applyAlignment="0" applyProtection="0"/>
    <xf numFmtId="0" fontId="5" fillId="10" borderId="0" applyNumberFormat="0" applyBorder="0" applyAlignment="0" applyProtection="0"/>
    <xf numFmtId="0" fontId="10" fillId="11" borderId="0" applyNumberFormat="0" applyBorder="0" applyAlignment="0" applyProtection="0"/>
    <xf numFmtId="0" fontId="5" fillId="11" borderId="0" applyNumberFormat="0" applyBorder="0" applyAlignment="0" applyProtection="0"/>
    <xf numFmtId="0" fontId="10" fillId="5" borderId="0" applyNumberFormat="0" applyBorder="0" applyAlignment="0" applyProtection="0"/>
    <xf numFmtId="0" fontId="5" fillId="5" borderId="0" applyNumberFormat="0" applyBorder="0" applyAlignment="0" applyProtection="0"/>
    <xf numFmtId="0" fontId="10" fillId="9" borderId="0" applyNumberFormat="0" applyBorder="0" applyAlignment="0" applyProtection="0"/>
    <xf numFmtId="0" fontId="5" fillId="9" borderId="0" applyNumberFormat="0" applyBorder="0" applyAlignment="0" applyProtection="0"/>
    <xf numFmtId="0" fontId="10" fillId="12" borderId="0" applyNumberFormat="0" applyBorder="0" applyAlignment="0" applyProtection="0"/>
    <xf numFmtId="0" fontId="5" fillId="12"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7" fillId="3" borderId="0" applyNumberFormat="0" applyBorder="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4" fillId="23" borderId="3" applyNumberFormat="0" applyAlignment="0" applyProtection="0"/>
    <xf numFmtId="0" fontId="31" fillId="0" borderId="5">
      <alignment horizontal="center" vertical="center"/>
    </xf>
    <xf numFmtId="0" fontId="32" fillId="0" borderId="0">
      <alignment horizontal="left" vertical="center"/>
    </xf>
    <xf numFmtId="0" fontId="16" fillId="7" borderId="2" applyNumberFormat="0" applyAlignment="0" applyProtection="0"/>
    <xf numFmtId="0" fontId="16" fillId="7" borderId="2" applyNumberFormat="0" applyAlignment="0" applyProtection="0"/>
    <xf numFmtId="166" fontId="8" fillId="0" borderId="0" applyFont="0" applyFill="0" applyBorder="0" applyAlignment="0" applyProtection="0"/>
    <xf numFmtId="166" fontId="7"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16" fillId="7" borderId="2" applyNumberFormat="0" applyAlignment="0" applyProtection="0"/>
    <xf numFmtId="0" fontId="15" fillId="0" borderId="4" applyNumberFormat="0" applyFill="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0" fontId="18" fillId="14" borderId="0" applyNumberFormat="0" applyBorder="0" applyAlignment="0" applyProtection="0"/>
    <xf numFmtId="4" fontId="7" fillId="0" borderId="1">
      <alignment vertical="justify"/>
    </xf>
    <xf numFmtId="4" fontId="7" fillId="0" borderId="1">
      <alignment vertical="justify"/>
    </xf>
    <xf numFmtId="0" fontId="54" fillId="0" borderId="0"/>
    <xf numFmtId="0" fontId="54" fillId="0" borderId="0"/>
    <xf numFmtId="0" fontId="54" fillId="0" borderId="0"/>
    <xf numFmtId="0" fontId="54" fillId="0" borderId="0"/>
    <xf numFmtId="0" fontId="54" fillId="0" borderId="0"/>
    <xf numFmtId="0" fontId="54" fillId="0" borderId="0"/>
    <xf numFmtId="0" fontId="5" fillId="0" borderId="0"/>
    <xf numFmtId="0" fontId="7" fillId="0" borderId="0"/>
    <xf numFmtId="0" fontId="53" fillId="0" borderId="0"/>
    <xf numFmtId="0" fontId="53" fillId="0" borderId="0"/>
    <xf numFmtId="0" fontId="28" fillId="0" borderId="0"/>
    <xf numFmtId="0" fontId="7" fillId="0" borderId="0"/>
    <xf numFmtId="0" fontId="7" fillId="0" borderId="0"/>
    <xf numFmtId="0" fontId="7" fillId="0" borderId="0"/>
    <xf numFmtId="0" fontId="7" fillId="0" borderId="0"/>
    <xf numFmtId="0" fontId="53" fillId="0" borderId="0"/>
    <xf numFmtId="0" fontId="54" fillId="0" borderId="0"/>
    <xf numFmtId="0" fontId="7" fillId="0" borderId="0"/>
    <xf numFmtId="0" fontId="54" fillId="0" borderId="0"/>
    <xf numFmtId="0" fontId="54" fillId="0" borderId="0"/>
    <xf numFmtId="0" fontId="54" fillId="0" borderId="0"/>
    <xf numFmtId="0" fontId="54" fillId="0" borderId="0"/>
    <xf numFmtId="0" fontId="7" fillId="0" borderId="0"/>
    <xf numFmtId="0" fontId="54" fillId="0" borderId="0"/>
    <xf numFmtId="0" fontId="54" fillId="0" borderId="0"/>
    <xf numFmtId="0" fontId="54" fillId="0" borderId="0"/>
    <xf numFmtId="0" fontId="54" fillId="0" borderId="0"/>
    <xf numFmtId="0" fontId="54" fillId="0" borderId="0"/>
    <xf numFmtId="4" fontId="7" fillId="0" borderId="1">
      <alignment vertical="justify"/>
    </xf>
    <xf numFmtId="0" fontId="8" fillId="0" borderId="0"/>
    <xf numFmtId="0" fontId="54" fillId="0" borderId="0"/>
    <xf numFmtId="0" fontId="54" fillId="0" borderId="0"/>
    <xf numFmtId="0" fontId="54" fillId="0" borderId="0"/>
    <xf numFmtId="0" fontId="54" fillId="0" borderId="0"/>
    <xf numFmtId="4" fontId="7" fillId="0" borderId="1">
      <alignment vertical="justify"/>
    </xf>
    <xf numFmtId="4" fontId="7" fillId="0" borderId="1">
      <alignment vertical="justify"/>
    </xf>
    <xf numFmtId="4" fontId="7" fillId="0" borderId="1">
      <alignment vertical="justify"/>
    </xf>
    <xf numFmtId="4" fontId="7" fillId="0" borderId="1">
      <alignment vertical="justify"/>
    </xf>
    <xf numFmtId="0" fontId="7" fillId="0" borderId="0"/>
    <xf numFmtId="4" fontId="7" fillId="0" borderId="1">
      <alignment vertical="justify"/>
    </xf>
    <xf numFmtId="0" fontId="30" fillId="0" borderId="0"/>
    <xf numFmtId="0" fontId="7" fillId="0" borderId="0"/>
    <xf numFmtId="0" fontId="30" fillId="0" borderId="0"/>
    <xf numFmtId="0" fontId="7" fillId="0" borderId="0"/>
    <xf numFmtId="0" fontId="43" fillId="0" borderId="0"/>
    <xf numFmtId="0" fontId="7" fillId="0" borderId="0"/>
    <xf numFmtId="0" fontId="7" fillId="0" borderId="0"/>
    <xf numFmtId="0" fontId="7" fillId="8" borderId="9" applyNumberFormat="0" applyFont="0" applyAlignment="0" applyProtection="0"/>
    <xf numFmtId="0" fontId="7"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70" fontId="33" fillId="0" borderId="10">
      <alignment horizontal="center" vertical="center"/>
    </xf>
    <xf numFmtId="0" fontId="19" fillId="13" borderId="1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3" fillId="0" borderId="0" applyFont="0" applyFill="0" applyBorder="0" applyAlignment="0" applyProtection="0"/>
    <xf numFmtId="0" fontId="19" fillId="13" borderId="11" applyNumberFormat="0" applyAlignment="0" applyProtection="0"/>
    <xf numFmtId="0" fontId="19" fillId="13" borderId="11" applyNumberFormat="0" applyAlignment="0" applyProtection="0"/>
    <xf numFmtId="0" fontId="19" fillId="13" borderId="11" applyNumberFormat="0" applyAlignment="0" applyProtection="0"/>
    <xf numFmtId="164" fontId="10" fillId="0" borderId="0" applyFont="0" applyFill="0" applyBorder="0" applyAlignment="0" applyProtection="0"/>
    <xf numFmtId="164" fontId="29" fillId="0" borderId="0" applyFont="0" applyFill="0" applyBorder="0" applyAlignment="0" applyProtection="0"/>
    <xf numFmtId="0" fontId="7" fillId="0" borderId="0" applyFont="0" applyFill="0" applyBorder="0" applyAlignment="0" applyProtection="0"/>
    <xf numFmtId="164" fontId="29" fillId="0" borderId="0" applyFont="0" applyFill="0" applyBorder="0" applyAlignment="0" applyProtection="0"/>
    <xf numFmtId="43" fontId="29"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7" fillId="0" borderId="0" applyFont="0" applyFill="0" applyBorder="0" applyAlignment="0" applyProtection="0"/>
    <xf numFmtId="164" fontId="5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1" fontId="34" fillId="0" borderId="0">
      <alignment horizontal="left" vertical="top"/>
    </xf>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164" fontId="7"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164" fontId="53" fillId="0" borderId="0" applyFont="0" applyFill="0" applyBorder="0" applyAlignment="0" applyProtection="0"/>
    <xf numFmtId="0" fontId="20" fillId="0" borderId="0" applyNumberFormat="0" applyFill="0" applyBorder="0" applyAlignment="0" applyProtection="0"/>
    <xf numFmtId="0" fontId="4"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3" fillId="0" borderId="0"/>
    <xf numFmtId="0" fontId="7" fillId="0" borderId="0"/>
    <xf numFmtId="0" fontId="13" fillId="13" borderId="2" applyNumberFormat="0" applyAlignment="0" applyProtection="0"/>
    <xf numFmtId="0" fontId="81" fillId="0" borderId="0" applyNumberFormat="0" applyFill="0" applyBorder="0" applyAlignment="0" applyProtection="0">
      <alignment vertical="top"/>
      <protection locked="0"/>
    </xf>
    <xf numFmtId="0" fontId="2" fillId="0" borderId="0"/>
    <xf numFmtId="0" fontId="2" fillId="0" borderId="0"/>
    <xf numFmtId="0" fontId="2" fillId="0" borderId="0"/>
    <xf numFmtId="4" fontId="7" fillId="0" borderId="1">
      <alignment vertical="justify"/>
    </xf>
    <xf numFmtId="0" fontId="7"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19" fillId="13" borderId="11" applyNumberFormat="0" applyAlignment="0" applyProtection="0"/>
    <xf numFmtId="43" fontId="29"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6" fillId="0" borderId="12" applyNumberFormat="0" applyFill="0" applyAlignment="0" applyProtection="0"/>
    <xf numFmtId="43" fontId="5" fillId="0" borderId="0" applyFont="0" applyFill="0" applyBorder="0" applyAlignment="0" applyProtection="0"/>
    <xf numFmtId="43"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7"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4" fillId="23" borderId="3" applyNumberFormat="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7" fillId="0" borderId="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 fontId="7" fillId="0" borderId="1">
      <alignment vertical="justify"/>
    </xf>
    <xf numFmtId="4" fontId="7" fillId="0" borderId="1">
      <alignment vertical="justify"/>
    </xf>
    <xf numFmtId="4" fontId="7" fillId="0" borderId="1">
      <alignment vertical="justify"/>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7"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8" fillId="0" borderId="0"/>
    <xf numFmtId="0" fontId="7" fillId="0" borderId="0"/>
    <xf numFmtId="0" fontId="7" fillId="0" borderId="0"/>
    <xf numFmtId="0" fontId="7" fillId="0" borderId="0"/>
    <xf numFmtId="0" fontId="7" fillId="8" borderId="9" applyNumberFormat="0" applyFont="0" applyAlignment="0" applyProtection="0"/>
    <xf numFmtId="0" fontId="7" fillId="8" borderId="9" applyNumberFormat="0" applyFont="0" applyAlignment="0" applyProtection="0"/>
    <xf numFmtId="0" fontId="7" fillId="8" borderId="9" applyNumberFormat="0" applyFont="0" applyAlignment="0" applyProtection="0"/>
    <xf numFmtId="0" fontId="7" fillId="8" borderId="9" applyNumberFormat="0" applyFont="0" applyAlignment="0" applyProtection="0"/>
    <xf numFmtId="0" fontId="7" fillId="8" borderId="9" applyNumberFormat="0" applyFont="0" applyAlignment="0" applyProtection="0"/>
    <xf numFmtId="0" fontId="7" fillId="8" borderId="9" applyNumberFormat="0" applyFont="0" applyAlignment="0" applyProtection="0"/>
    <xf numFmtId="0" fontId="7" fillId="8" borderId="9" applyNumberFormat="0" applyFont="0" applyAlignment="0" applyProtection="0"/>
    <xf numFmtId="0" fontId="7" fillId="8" borderId="9"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13" borderId="11" applyNumberFormat="0" applyAlignment="0" applyProtection="0"/>
    <xf numFmtId="0" fontId="19" fillId="13" borderId="11" applyNumberFormat="0" applyAlignment="0" applyProtection="0"/>
    <xf numFmtId="0" fontId="19" fillId="13" borderId="11" applyNumberFormat="0" applyAlignment="0" applyProtection="0"/>
    <xf numFmtId="0" fontId="19" fillId="13" borderId="11" applyNumberFormat="0" applyAlignment="0" applyProtection="0"/>
    <xf numFmtId="0" fontId="19" fillId="13" borderId="11" applyNumberFormat="0" applyAlignment="0" applyProtection="0"/>
    <xf numFmtId="0" fontId="19" fillId="13" borderId="11" applyNumberFormat="0" applyAlignment="0" applyProtection="0"/>
    <xf numFmtId="0" fontId="19" fillId="13" borderId="11" applyNumberFormat="0" applyAlignment="0" applyProtection="0"/>
    <xf numFmtId="176" fontId="7" fillId="0" borderId="0" applyFill="0" applyBorder="0" applyAlignment="0" applyProtection="0"/>
    <xf numFmtId="176" fontId="7" fillId="0" borderId="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68">
    <xf numFmtId="4" fontId="0" fillId="0" borderId="1" xfId="0">
      <alignment vertical="justify"/>
    </xf>
    <xf numFmtId="4" fontId="35" fillId="0" borderId="0" xfId="0" applyFont="1" applyFill="1" applyBorder="1" applyAlignment="1">
      <alignment vertical="center" readingOrder="1"/>
    </xf>
    <xf numFmtId="164" fontId="35" fillId="0" borderId="0" xfId="194" applyFont="1" applyFill="1" applyBorder="1" applyAlignment="1">
      <alignment horizontal="center" vertical="center" readingOrder="1"/>
    </xf>
    <xf numFmtId="4" fontId="35" fillId="0" borderId="0" xfId="0" applyNumberFormat="1" applyFont="1" applyFill="1" applyBorder="1" applyAlignment="1">
      <alignment vertical="center" readingOrder="1"/>
    </xf>
    <xf numFmtId="4" fontId="37" fillId="0" borderId="0" xfId="0" applyFont="1" applyFill="1" applyBorder="1" applyAlignment="1">
      <alignment vertical="center" readingOrder="1"/>
    </xf>
    <xf numFmtId="49" fontId="37" fillId="0" borderId="14" xfId="0" applyNumberFormat="1" applyFont="1" applyFill="1" applyBorder="1" applyAlignment="1">
      <alignment horizontal="center" vertical="center" wrapText="1" readingOrder="1"/>
    </xf>
    <xf numFmtId="0" fontId="37" fillId="0" borderId="14" xfId="0" applyNumberFormat="1" applyFont="1" applyFill="1" applyBorder="1" applyAlignment="1">
      <alignment horizontal="center" vertical="center" wrapText="1" readingOrder="1"/>
    </xf>
    <xf numFmtId="0" fontId="35" fillId="0" borderId="0" xfId="0" applyNumberFormat="1" applyFont="1" applyFill="1" applyBorder="1" applyAlignment="1">
      <alignment vertical="center" readingOrder="1"/>
    </xf>
    <xf numFmtId="0" fontId="35" fillId="0" borderId="0" xfId="0" applyNumberFormat="1" applyFont="1" applyFill="1" applyBorder="1" applyAlignment="1">
      <alignment vertical="center" wrapText="1" readingOrder="1"/>
    </xf>
    <xf numFmtId="0" fontId="36" fillId="0" borderId="0" xfId="0" applyNumberFormat="1" applyFont="1" applyFill="1" applyBorder="1" applyAlignment="1">
      <alignment horizontal="center" vertical="center" readingOrder="1"/>
    </xf>
    <xf numFmtId="0" fontId="37" fillId="0" borderId="0" xfId="0" applyNumberFormat="1" applyFont="1" applyFill="1" applyBorder="1" applyAlignment="1">
      <alignment vertical="center" readingOrder="1"/>
    </xf>
    <xf numFmtId="0" fontId="37" fillId="0" borderId="21" xfId="0" applyNumberFormat="1" applyFont="1" applyFill="1" applyBorder="1" applyAlignment="1">
      <alignment horizontal="center" vertical="center" wrapText="1" readingOrder="1"/>
    </xf>
    <xf numFmtId="0" fontId="37" fillId="0" borderId="0" xfId="0" applyNumberFormat="1" applyFont="1" applyFill="1" applyBorder="1" applyAlignment="1">
      <alignment vertical="center" wrapText="1" readingOrder="1"/>
    </xf>
    <xf numFmtId="4" fontId="37" fillId="0" borderId="0" xfId="0" applyNumberFormat="1" applyFont="1" applyFill="1" applyBorder="1" applyAlignment="1">
      <alignment horizontal="center" vertical="center" wrapText="1" readingOrder="1"/>
    </xf>
    <xf numFmtId="0" fontId="54" fillId="0" borderId="0" xfId="63"/>
    <xf numFmtId="4" fontId="54" fillId="0" borderId="0" xfId="63" applyNumberFormat="1" applyAlignment="1">
      <alignment horizontal="center" vertical="center"/>
    </xf>
    <xf numFmtId="4" fontId="54" fillId="0" borderId="0" xfId="63" applyNumberFormat="1"/>
    <xf numFmtId="0" fontId="7" fillId="0" borderId="0" xfId="63" applyFont="1" applyFill="1" applyBorder="1" applyAlignment="1"/>
    <xf numFmtId="0" fontId="54" fillId="0" borderId="0" xfId="63" applyAlignment="1">
      <alignment horizontal="center" vertical="center"/>
    </xf>
    <xf numFmtId="0" fontId="54" fillId="0" borderId="0" xfId="63" applyBorder="1"/>
    <xf numFmtId="4" fontId="7" fillId="0" borderId="0" xfId="61" applyFont="1" applyBorder="1">
      <alignment vertical="justify"/>
    </xf>
    <xf numFmtId="4" fontId="42" fillId="0" borderId="0" xfId="61" applyFont="1" applyBorder="1">
      <alignment vertical="justify"/>
    </xf>
    <xf numFmtId="4" fontId="54" fillId="0" borderId="0" xfId="63" applyNumberFormat="1" applyBorder="1"/>
    <xf numFmtId="0" fontId="57" fillId="27" borderId="14" xfId="63" applyFont="1" applyFill="1" applyBorder="1" applyAlignment="1">
      <alignment horizontal="center" vertical="center" wrapText="1"/>
    </xf>
    <xf numFmtId="4" fontId="56" fillId="28" borderId="14" xfId="63" applyNumberFormat="1" applyFont="1" applyFill="1" applyBorder="1" applyAlignment="1">
      <alignment horizontal="center" vertical="center"/>
    </xf>
    <xf numFmtId="4" fontId="56" fillId="26" borderId="14" xfId="63" applyNumberFormat="1" applyFont="1" applyFill="1" applyBorder="1" applyAlignment="1">
      <alignment horizontal="center" vertical="center"/>
    </xf>
    <xf numFmtId="4" fontId="56" fillId="0" borderId="14" xfId="63" applyNumberFormat="1" applyFont="1" applyBorder="1" applyAlignment="1">
      <alignment horizontal="center" vertical="center"/>
    </xf>
    <xf numFmtId="4" fontId="42" fillId="28" borderId="14" xfId="63" applyNumberFormat="1" applyFont="1" applyFill="1" applyBorder="1" applyAlignment="1">
      <alignment horizontal="center" vertical="center"/>
    </xf>
    <xf numFmtId="4" fontId="57" fillId="26" borderId="14" xfId="63" applyNumberFormat="1" applyFont="1" applyFill="1" applyBorder="1" applyAlignment="1">
      <alignment horizontal="center" vertical="center"/>
    </xf>
    <xf numFmtId="2" fontId="6" fillId="26" borderId="14" xfId="108" applyNumberFormat="1" applyFont="1" applyFill="1" applyBorder="1" applyAlignment="1">
      <alignment horizontal="center" vertical="center"/>
    </xf>
    <xf numFmtId="0" fontId="58" fillId="26" borderId="0" xfId="63" applyFont="1" applyFill="1"/>
    <xf numFmtId="4" fontId="59" fillId="0" borderId="0" xfId="63" applyNumberFormat="1" applyFont="1"/>
    <xf numFmtId="4" fontId="54" fillId="26" borderId="0" xfId="63" applyNumberFormat="1" applyFont="1" applyFill="1"/>
    <xf numFmtId="0" fontId="56" fillId="0" borderId="0" xfId="63" applyFont="1"/>
    <xf numFmtId="4" fontId="56" fillId="0" borderId="0" xfId="63" applyNumberFormat="1" applyFont="1" applyAlignment="1">
      <alignment horizontal="center" vertical="center"/>
    </xf>
    <xf numFmtId="4" fontId="60" fillId="0" borderId="0" xfId="63" applyNumberFormat="1" applyFont="1"/>
    <xf numFmtId="4" fontId="54" fillId="0" borderId="0" xfId="63" applyNumberFormat="1" applyFont="1"/>
    <xf numFmtId="0" fontId="7" fillId="26" borderId="0" xfId="63" applyFont="1" applyFill="1" applyBorder="1" applyAlignment="1"/>
    <xf numFmtId="4" fontId="61" fillId="26" borderId="15" xfId="63" applyNumberFormat="1" applyFont="1" applyFill="1" applyBorder="1" applyAlignment="1">
      <alignment horizontal="center"/>
    </xf>
    <xf numFmtId="0" fontId="56" fillId="0" borderId="0" xfId="63" applyFont="1" applyAlignment="1">
      <alignment horizontal="center" vertical="center"/>
    </xf>
    <xf numFmtId="0" fontId="56" fillId="0" borderId="0" xfId="63" applyFont="1" applyBorder="1"/>
    <xf numFmtId="0" fontId="37" fillId="0" borderId="23" xfId="0" applyNumberFormat="1" applyFont="1" applyFill="1" applyBorder="1" applyAlignment="1">
      <alignment horizontal="center" vertical="center" wrapText="1" readingOrder="1"/>
    </xf>
    <xf numFmtId="4" fontId="35" fillId="0" borderId="0" xfId="61" applyFont="1" applyFill="1" applyBorder="1" applyAlignment="1">
      <alignment vertical="center" readingOrder="1"/>
    </xf>
    <xf numFmtId="0" fontId="37" fillId="0" borderId="24" xfId="0" applyNumberFormat="1" applyFont="1" applyFill="1" applyBorder="1" applyAlignment="1">
      <alignment horizontal="center" vertical="center" wrapText="1" readingOrder="1"/>
    </xf>
    <xf numFmtId="0" fontId="7" fillId="24" borderId="14" xfId="108" applyFont="1" applyFill="1" applyBorder="1" applyAlignment="1">
      <alignment horizontal="left" vertical="center"/>
    </xf>
    <xf numFmtId="0" fontId="7" fillId="0" borderId="14" xfId="61" applyNumberFormat="1" applyBorder="1" applyAlignment="1">
      <alignment horizontal="center" vertical="center" wrapText="1"/>
    </xf>
    <xf numFmtId="0" fontId="57" fillId="26" borderId="14" xfId="63" applyFont="1" applyFill="1" applyBorder="1" applyAlignment="1">
      <alignment horizontal="center" vertical="center"/>
    </xf>
    <xf numFmtId="0" fontId="7" fillId="26" borderId="0" xfId="63" applyFont="1" applyFill="1" applyBorder="1" applyAlignment="1">
      <alignment horizontal="left"/>
    </xf>
    <xf numFmtId="4" fontId="42" fillId="0" borderId="0" xfId="61" applyFont="1" applyBorder="1" applyAlignment="1">
      <alignment vertical="center"/>
    </xf>
    <xf numFmtId="4" fontId="48" fillId="0" borderId="0" xfId="61" applyFont="1" applyBorder="1" applyAlignment="1">
      <alignment vertical="center"/>
    </xf>
    <xf numFmtId="4" fontId="49" fillId="0" borderId="0" xfId="61" applyFont="1" applyBorder="1" applyAlignment="1">
      <alignment vertical="center"/>
    </xf>
    <xf numFmtId="4" fontId="42" fillId="0" borderId="0" xfId="61" applyFont="1" applyBorder="1" applyAlignment="1">
      <alignment horizontal="left" vertical="center" indent="3"/>
    </xf>
    <xf numFmtId="4" fontId="48" fillId="0" borderId="0" xfId="61" applyFont="1" applyBorder="1" applyAlignment="1">
      <alignment horizontal="left" vertical="center" indent="3"/>
    </xf>
    <xf numFmtId="4" fontId="50" fillId="0" borderId="0" xfId="61" applyFont="1" applyBorder="1" applyAlignment="1">
      <alignment vertical="center"/>
    </xf>
    <xf numFmtId="4" fontId="50" fillId="0" borderId="0" xfId="61" applyFont="1" applyBorder="1" applyAlignment="1">
      <alignment horizontal="left" vertical="center" indent="3"/>
    </xf>
    <xf numFmtId="4" fontId="45" fillId="0" borderId="0" xfId="61" applyFont="1" applyBorder="1" applyAlignment="1">
      <alignment horizontal="left" vertical="center" indent="3"/>
    </xf>
    <xf numFmtId="4" fontId="42" fillId="0" borderId="0" xfId="61" applyFont="1" applyBorder="1" applyAlignment="1">
      <alignment horizontal="left" vertical="center" indent="15"/>
    </xf>
    <xf numFmtId="4" fontId="44" fillId="0" borderId="0" xfId="61" applyFont="1" applyBorder="1" applyAlignment="1">
      <alignment vertical="center"/>
    </xf>
    <xf numFmtId="167" fontId="42" fillId="24" borderId="0" xfId="107" applyNumberFormat="1" applyFont="1" applyFill="1" applyAlignment="1">
      <alignment vertical="center"/>
    </xf>
    <xf numFmtId="164" fontId="5" fillId="24" borderId="0" xfId="136" applyFont="1" applyFill="1" applyAlignment="1">
      <alignment horizontal="center" vertical="center"/>
    </xf>
    <xf numFmtId="0" fontId="42" fillId="24" borderId="0" xfId="74" applyFont="1" applyFill="1" applyBorder="1"/>
    <xf numFmtId="167" fontId="42" fillId="24" borderId="0" xfId="107" applyNumberFormat="1" applyFont="1" applyFill="1" applyAlignment="1">
      <alignment horizontal="center" vertical="center"/>
    </xf>
    <xf numFmtId="0" fontId="42" fillId="24" borderId="0" xfId="74" applyFont="1" applyFill="1" applyBorder="1" applyAlignment="1">
      <alignment horizontal="right"/>
    </xf>
    <xf numFmtId="0" fontId="44" fillId="24" borderId="0" xfId="74" applyFont="1" applyFill="1" applyBorder="1"/>
    <xf numFmtId="0" fontId="42" fillId="28" borderId="14" xfId="74" applyFont="1" applyFill="1" applyBorder="1" applyAlignment="1">
      <alignment horizontal="center" vertical="center"/>
    </xf>
    <xf numFmtId="164" fontId="42" fillId="24" borderId="0" xfId="107" applyNumberFormat="1" applyFont="1" applyFill="1" applyAlignment="1">
      <alignment vertical="center"/>
    </xf>
    <xf numFmtId="0" fontId="44" fillId="24" borderId="0" xfId="74" applyFont="1" applyFill="1" applyBorder="1" applyAlignment="1"/>
    <xf numFmtId="0" fontId="42" fillId="24" borderId="0" xfId="74" applyFont="1" applyFill="1" applyBorder="1" applyAlignment="1">
      <alignment vertical="center"/>
    </xf>
    <xf numFmtId="0" fontId="42" fillId="24" borderId="0" xfId="74" applyFont="1" applyFill="1" applyBorder="1" applyAlignment="1">
      <alignment horizontal="center" vertical="center"/>
    </xf>
    <xf numFmtId="164" fontId="42" fillId="24" borderId="0" xfId="107" applyNumberFormat="1" applyFont="1" applyFill="1" applyBorder="1" applyAlignment="1">
      <alignment vertical="center"/>
    </xf>
    <xf numFmtId="0" fontId="42" fillId="24" borderId="0" xfId="74" applyFont="1" applyFill="1" applyBorder="1" applyAlignment="1"/>
    <xf numFmtId="0" fontId="42" fillId="24" borderId="15" xfId="74" applyFont="1" applyFill="1" applyBorder="1"/>
    <xf numFmtId="0" fontId="42" fillId="24" borderId="15" xfId="74" applyFont="1" applyFill="1" applyBorder="1" applyAlignment="1">
      <alignment vertical="center"/>
    </xf>
    <xf numFmtId="0" fontId="42" fillId="24" borderId="15" xfId="74" applyFont="1" applyFill="1" applyBorder="1" applyAlignment="1"/>
    <xf numFmtId="164" fontId="44" fillId="24" borderId="15" xfId="107" applyNumberFormat="1" applyFont="1" applyFill="1" applyBorder="1" applyAlignment="1">
      <alignment vertical="center"/>
    </xf>
    <xf numFmtId="164" fontId="26" fillId="24" borderId="0" xfId="136" applyFont="1" applyFill="1" applyAlignment="1">
      <alignment horizontal="center" vertical="center"/>
    </xf>
    <xf numFmtId="0" fontId="42" fillId="28" borderId="14" xfId="74" applyFont="1" applyFill="1" applyBorder="1" applyAlignment="1" applyProtection="1">
      <alignment horizontal="center"/>
      <protection locked="0"/>
    </xf>
    <xf numFmtId="4" fontId="42" fillId="26" borderId="14" xfId="74" applyNumberFormat="1" applyFont="1" applyFill="1" applyBorder="1" applyProtection="1">
      <protection locked="0"/>
    </xf>
    <xf numFmtId="167" fontId="42" fillId="26" borderId="14" xfId="136" applyNumberFormat="1" applyFont="1" applyFill="1" applyBorder="1" applyAlignment="1" applyProtection="1">
      <alignment horizontal="center"/>
      <protection locked="0"/>
    </xf>
    <xf numFmtId="4" fontId="42" fillId="28" borderId="14" xfId="74" applyNumberFormat="1" applyFont="1" applyFill="1" applyBorder="1" applyProtection="1">
      <protection locked="0"/>
    </xf>
    <xf numFmtId="0" fontId="42" fillId="26" borderId="14" xfId="74" applyFont="1" applyFill="1" applyBorder="1" applyAlignment="1" applyProtection="1">
      <alignment horizontal="center"/>
      <protection locked="0"/>
    </xf>
    <xf numFmtId="167" fontId="42" fillId="28" borderId="14" xfId="136" applyNumberFormat="1" applyFont="1" applyFill="1" applyBorder="1" applyAlignment="1" applyProtection="1">
      <alignment horizontal="center"/>
      <protection locked="0"/>
    </xf>
    <xf numFmtId="164" fontId="5" fillId="24" borderId="0" xfId="136" applyFont="1" applyFill="1"/>
    <xf numFmtId="0" fontId="42" fillId="0" borderId="0" xfId="74" applyFont="1" applyBorder="1"/>
    <xf numFmtId="0" fontId="42" fillId="0" borderId="0" xfId="74" applyFont="1" applyBorder="1" applyAlignment="1">
      <alignment horizontal="center"/>
    </xf>
    <xf numFmtId="4" fontId="42" fillId="0" borderId="0" xfId="74" applyNumberFormat="1" applyFont="1" applyBorder="1"/>
    <xf numFmtId="167" fontId="42" fillId="0" borderId="0" xfId="136" applyNumberFormat="1" applyFont="1" applyBorder="1" applyAlignment="1">
      <alignment horizontal="center"/>
    </xf>
    <xf numFmtId="164" fontId="42" fillId="0" borderId="0" xfId="107" applyNumberFormat="1" applyFont="1" applyBorder="1"/>
    <xf numFmtId="164" fontId="42" fillId="0" borderId="0" xfId="107" applyNumberFormat="1" applyFont="1"/>
    <xf numFmtId="167" fontId="5" fillId="0" borderId="0" xfId="136" applyNumberFormat="1" applyFont="1" applyAlignment="1">
      <alignment horizontal="center"/>
    </xf>
    <xf numFmtId="164" fontId="5" fillId="0" borderId="0" xfId="136" applyFont="1" applyAlignment="1">
      <alignment horizontal="center" vertical="center"/>
    </xf>
    <xf numFmtId="0" fontId="42" fillId="26" borderId="0" xfId="74" applyFont="1" applyFill="1" applyBorder="1"/>
    <xf numFmtId="0" fontId="7" fillId="26" borderId="0" xfId="63" applyFont="1" applyFill="1" applyBorder="1" applyAlignment="1">
      <alignment horizontal="center"/>
    </xf>
    <xf numFmtId="4" fontId="42" fillId="24" borderId="14" xfId="108" applyNumberFormat="1" applyFont="1" applyFill="1" applyBorder="1" applyAlignment="1">
      <alignment horizontal="center" vertical="center"/>
    </xf>
    <xf numFmtId="4" fontId="37" fillId="0" borderId="14" xfId="0" applyNumberFormat="1" applyFont="1" applyFill="1" applyBorder="1" applyAlignment="1">
      <alignment horizontal="center" vertical="center" wrapText="1" readingOrder="1"/>
    </xf>
    <xf numFmtId="0" fontId="7" fillId="26" borderId="14" xfId="108" applyFont="1" applyFill="1" applyBorder="1" applyAlignment="1">
      <alignment horizontal="left" vertical="center"/>
    </xf>
    <xf numFmtId="0" fontId="37" fillId="0" borderId="36" xfId="0" applyNumberFormat="1" applyFont="1" applyFill="1" applyBorder="1" applyAlignment="1">
      <alignment horizontal="center" vertical="center" wrapText="1" readingOrder="1"/>
    </xf>
    <xf numFmtId="0" fontId="7" fillId="0" borderId="0" xfId="71" applyFont="1" applyAlignment="1">
      <alignment horizontal="center" vertical="center"/>
    </xf>
    <xf numFmtId="4" fontId="56" fillId="0" borderId="14" xfId="63" applyNumberFormat="1" applyFont="1" applyFill="1" applyBorder="1" applyAlignment="1">
      <alignment horizontal="center" vertical="center"/>
    </xf>
    <xf numFmtId="43" fontId="37" fillId="0" borderId="14" xfId="194" applyNumberFormat="1" applyFont="1" applyFill="1" applyBorder="1" applyAlignment="1">
      <alignment horizontal="center" vertical="center" wrapText="1" readingOrder="1"/>
    </xf>
    <xf numFmtId="0" fontId="62" fillId="26" borderId="14" xfId="108" applyFont="1" applyFill="1" applyBorder="1" applyAlignment="1">
      <alignment horizontal="left" vertical="center"/>
    </xf>
    <xf numFmtId="164" fontId="5" fillId="24" borderId="0" xfId="136" applyFont="1" applyFill="1" applyAlignment="1">
      <alignment horizontal="center"/>
    </xf>
    <xf numFmtId="0" fontId="42" fillId="24" borderId="0" xfId="74" applyFont="1" applyFill="1" applyBorder="1" applyAlignment="1">
      <alignment horizontal="center"/>
    </xf>
    <xf numFmtId="0" fontId="44" fillId="26" borderId="23" xfId="74" applyFont="1" applyFill="1" applyBorder="1" applyAlignment="1">
      <alignment horizontal="center" vertical="center" wrapText="1"/>
    </xf>
    <xf numFmtId="0" fontId="44" fillId="26" borderId="27" xfId="74" applyFont="1" applyFill="1" applyBorder="1" applyAlignment="1">
      <alignment horizontal="center" vertical="center" wrapText="1"/>
    </xf>
    <xf numFmtId="0" fontId="44" fillId="26" borderId="39" xfId="74" applyFont="1" applyFill="1" applyBorder="1" applyAlignment="1">
      <alignment horizontal="center" vertical="center" wrapText="1"/>
    </xf>
    <xf numFmtId="0" fontId="37" fillId="0" borderId="20" xfId="0" applyNumberFormat="1" applyFont="1" applyFill="1" applyBorder="1" applyAlignment="1">
      <alignment vertical="center" wrapText="1" readingOrder="1"/>
    </xf>
    <xf numFmtId="0" fontId="37" fillId="0" borderId="15" xfId="0" applyNumberFormat="1" applyFont="1" applyFill="1" applyBorder="1" applyAlignment="1">
      <alignment vertical="center" wrapText="1" readingOrder="1"/>
    </xf>
    <xf numFmtId="0" fontId="5" fillId="24" borderId="0" xfId="200" applyFont="1" applyFill="1"/>
    <xf numFmtId="0" fontId="5" fillId="24" borderId="0" xfId="200" applyFont="1" applyFill="1" applyAlignment="1">
      <alignment horizontal="center"/>
    </xf>
    <xf numFmtId="0" fontId="5" fillId="24" borderId="0" xfId="200" applyFont="1" applyFill="1" applyBorder="1"/>
    <xf numFmtId="0" fontId="5" fillId="24" borderId="0" xfId="200" applyFont="1" applyFill="1" applyBorder="1" applyAlignment="1">
      <alignment horizontal="center"/>
    </xf>
    <xf numFmtId="10" fontId="5" fillId="24" borderId="0" xfId="200" applyNumberFormat="1" applyFont="1" applyFill="1" applyBorder="1"/>
    <xf numFmtId="0" fontId="5" fillId="26" borderId="0" xfId="200" applyFont="1" applyFill="1" applyBorder="1"/>
    <xf numFmtId="0" fontId="5" fillId="26" borderId="0" xfId="200" applyFont="1" applyFill="1"/>
    <xf numFmtId="0" fontId="52" fillId="26" borderId="0" xfId="200" applyFont="1" applyFill="1"/>
    <xf numFmtId="0" fontId="64" fillId="24" borderId="0" xfId="200" applyFont="1" applyFill="1" applyBorder="1"/>
    <xf numFmtId="0" fontId="64" fillId="24" borderId="0" xfId="200" applyFont="1" applyFill="1" applyBorder="1" applyAlignment="1">
      <alignment horizontal="center"/>
    </xf>
    <xf numFmtId="0" fontId="5" fillId="24" borderId="0" xfId="200" applyFont="1" applyFill="1" applyBorder="1" applyAlignment="1">
      <alignment horizontal="right"/>
    </xf>
    <xf numFmtId="0" fontId="27" fillId="24" borderId="0" xfId="74" applyFont="1" applyFill="1" applyBorder="1" applyAlignment="1">
      <alignment horizontal="left" vertical="center"/>
    </xf>
    <xf numFmtId="4" fontId="42" fillId="28" borderId="14" xfId="74" applyNumberFormat="1" applyFont="1" applyFill="1" applyBorder="1" applyAlignment="1">
      <alignment horizontal="center" vertical="center"/>
    </xf>
    <xf numFmtId="0" fontId="42" fillId="0" borderId="0" xfId="74" applyFont="1" applyFill="1" applyBorder="1" applyAlignment="1">
      <alignment horizontal="center" vertical="center"/>
    </xf>
    <xf numFmtId="9" fontId="42" fillId="24" borderId="0" xfId="74" applyNumberFormat="1" applyFont="1" applyFill="1" applyBorder="1" applyAlignment="1">
      <alignment horizontal="center"/>
    </xf>
    <xf numFmtId="9" fontId="42" fillId="25" borderId="0" xfId="74" applyNumberFormat="1" applyFont="1" applyFill="1" applyBorder="1" applyProtection="1">
      <protection locked="0"/>
    </xf>
    <xf numFmtId="4" fontId="42" fillId="26" borderId="0" xfId="74" applyNumberFormat="1" applyFont="1" applyFill="1" applyBorder="1" applyAlignment="1">
      <alignment horizontal="center" vertical="center"/>
    </xf>
    <xf numFmtId="9" fontId="44" fillId="24" borderId="0" xfId="74" applyNumberFormat="1" applyFont="1" applyFill="1" applyBorder="1" applyAlignment="1">
      <alignment horizontal="center"/>
    </xf>
    <xf numFmtId="10" fontId="42" fillId="26" borderId="0" xfId="74" applyNumberFormat="1" applyFont="1" applyFill="1" applyBorder="1" applyAlignment="1">
      <alignment horizontal="center" vertical="center"/>
    </xf>
    <xf numFmtId="0" fontId="42" fillId="24" borderId="0" xfId="74" applyFont="1" applyFill="1" applyBorder="1" applyAlignment="1">
      <alignment horizontal="left"/>
    </xf>
    <xf numFmtId="10" fontId="42" fillId="24" borderId="0" xfId="74" applyNumberFormat="1" applyFont="1" applyFill="1" applyBorder="1"/>
    <xf numFmtId="0" fontId="42" fillId="26" borderId="15" xfId="74" applyFont="1" applyFill="1" applyBorder="1"/>
    <xf numFmtId="0" fontId="26" fillId="24" borderId="0" xfId="200" applyFont="1" applyFill="1"/>
    <xf numFmtId="0" fontId="26" fillId="24" borderId="0" xfId="200" applyFont="1" applyFill="1" applyAlignment="1">
      <alignment horizontal="center"/>
    </xf>
    <xf numFmtId="0" fontId="64" fillId="24" borderId="0" xfId="200" applyFont="1" applyFill="1"/>
    <xf numFmtId="2" fontId="64" fillId="24" borderId="0" xfId="200" applyNumberFormat="1" applyFont="1" applyFill="1" applyAlignment="1">
      <alignment horizontal="center"/>
    </xf>
    <xf numFmtId="0" fontId="44" fillId="26" borderId="15" xfId="74" applyFont="1" applyFill="1" applyBorder="1" applyAlignment="1">
      <alignment horizontal="center" vertical="center" wrapText="1"/>
    </xf>
    <xf numFmtId="0" fontId="26" fillId="24" borderId="0" xfId="200" applyFont="1" applyFill="1" applyBorder="1"/>
    <xf numFmtId="0" fontId="26" fillId="24" borderId="38" xfId="200" applyFont="1" applyFill="1" applyBorder="1" applyAlignment="1">
      <alignment horizontal="center"/>
    </xf>
    <xf numFmtId="2" fontId="44" fillId="26" borderId="26" xfId="74" applyNumberFormat="1" applyFont="1" applyFill="1" applyBorder="1" applyAlignment="1">
      <alignment horizontal="center" vertical="center" wrapText="1"/>
    </xf>
    <xf numFmtId="2" fontId="44" fillId="26" borderId="43" xfId="74" applyNumberFormat="1" applyFont="1" applyFill="1" applyBorder="1" applyAlignment="1">
      <alignment horizontal="center" vertical="center" wrapText="1"/>
    </xf>
    <xf numFmtId="2" fontId="44" fillId="26" borderId="42" xfId="74" applyNumberFormat="1" applyFont="1" applyFill="1" applyBorder="1" applyAlignment="1">
      <alignment horizontal="center" vertical="center" wrapText="1"/>
    </xf>
    <xf numFmtId="17" fontId="26" fillId="24" borderId="0" xfId="200" applyNumberFormat="1" applyFont="1" applyFill="1"/>
    <xf numFmtId="4" fontId="42" fillId="26" borderId="14" xfId="109" applyNumberFormat="1" applyFont="1" applyFill="1" applyBorder="1"/>
    <xf numFmtId="4" fontId="42" fillId="24" borderId="14" xfId="109" applyNumberFormat="1" applyFont="1" applyFill="1" applyBorder="1" applyAlignment="1">
      <alignment horizontal="center"/>
    </xf>
    <xf numFmtId="0" fontId="65" fillId="24" borderId="14" xfId="200" applyFont="1" applyFill="1" applyBorder="1" applyAlignment="1">
      <alignment horizontal="center"/>
    </xf>
    <xf numFmtId="0" fontId="42" fillId="24" borderId="14" xfId="74" applyFont="1" applyFill="1" applyBorder="1" applyAlignment="1" applyProtection="1">
      <alignment horizontal="left"/>
      <protection locked="0"/>
    </xf>
    <xf numFmtId="10" fontId="42" fillId="26" borderId="14" xfId="74" applyNumberFormat="1" applyFont="1" applyFill="1" applyBorder="1" applyProtection="1">
      <protection locked="0"/>
    </xf>
    <xf numFmtId="4" fontId="42" fillId="26" borderId="14" xfId="74" applyNumberFormat="1" applyFont="1" applyFill="1" applyBorder="1"/>
    <xf numFmtId="4" fontId="42" fillId="26" borderId="14" xfId="109" applyNumberFormat="1" applyFont="1" applyFill="1" applyBorder="1" applyAlignment="1">
      <alignment horizontal="center"/>
    </xf>
    <xf numFmtId="10" fontId="42" fillId="28" borderId="14" xfId="74" applyNumberFormat="1" applyFont="1" applyFill="1" applyBorder="1" applyProtection="1">
      <protection locked="0"/>
    </xf>
    <xf numFmtId="0" fontId="26" fillId="24" borderId="0" xfId="200" applyFont="1" applyFill="1" applyBorder="1" applyAlignment="1"/>
    <xf numFmtId="0" fontId="65" fillId="24" borderId="21" xfId="200" applyFont="1" applyFill="1" applyBorder="1" applyAlignment="1">
      <alignment horizontal="center" vertical="center"/>
    </xf>
    <xf numFmtId="0" fontId="65" fillId="24" borderId="14" xfId="200" applyFont="1" applyFill="1" applyBorder="1" applyAlignment="1">
      <alignment horizontal="center" vertical="center"/>
    </xf>
    <xf numFmtId="2" fontId="65" fillId="24" borderId="14" xfId="200" applyNumberFormat="1" applyFont="1" applyFill="1" applyBorder="1" applyAlignment="1">
      <alignment horizontal="center" vertical="center"/>
    </xf>
    <xf numFmtId="2" fontId="5" fillId="24" borderId="0" xfId="200" applyNumberFormat="1" applyFont="1" applyFill="1"/>
    <xf numFmtId="1" fontId="42" fillId="29" borderId="14" xfId="136" applyNumberFormat="1" applyFont="1" applyFill="1" applyBorder="1" applyAlignment="1">
      <alignment horizontal="center" vertical="center"/>
    </xf>
    <xf numFmtId="2" fontId="42" fillId="29" borderId="14" xfId="136" applyNumberFormat="1" applyFont="1" applyFill="1" applyBorder="1" applyAlignment="1">
      <alignment horizontal="center" vertical="center"/>
    </xf>
    <xf numFmtId="2" fontId="42" fillId="24" borderId="43" xfId="136" applyNumberFormat="1" applyFont="1" applyFill="1" applyBorder="1" applyAlignment="1">
      <alignment horizontal="center" vertical="center"/>
    </xf>
    <xf numFmtId="2" fontId="64" fillId="24" borderId="14" xfId="200" applyNumberFormat="1" applyFont="1" applyFill="1" applyBorder="1" applyAlignment="1">
      <alignment horizontal="center" vertical="center"/>
    </xf>
    <xf numFmtId="2" fontId="64" fillId="24" borderId="14" xfId="136" applyNumberFormat="1" applyFont="1" applyFill="1" applyBorder="1" applyAlignment="1">
      <alignment horizontal="center" vertical="center"/>
    </xf>
    <xf numFmtId="167" fontId="5" fillId="24" borderId="0" xfId="136" applyNumberFormat="1" applyFont="1" applyFill="1" applyAlignment="1"/>
    <xf numFmtId="1" fontId="64" fillId="24" borderId="14" xfId="200" applyNumberFormat="1" applyFont="1" applyFill="1" applyBorder="1" applyAlignment="1">
      <alignment horizontal="center" vertical="center"/>
    </xf>
    <xf numFmtId="167" fontId="5" fillId="24" borderId="0" xfId="136" applyNumberFormat="1" applyFont="1" applyFill="1" applyBorder="1" applyAlignment="1"/>
    <xf numFmtId="164" fontId="5" fillId="24" borderId="0" xfId="136" applyFont="1" applyFill="1" applyBorder="1" applyAlignment="1">
      <alignment horizontal="center"/>
    </xf>
    <xf numFmtId="164" fontId="5" fillId="24" borderId="0" xfId="136" applyFont="1" applyFill="1" applyAlignment="1">
      <alignment horizontal="left"/>
    </xf>
    <xf numFmtId="164" fontId="5" fillId="24" borderId="0" xfId="136" applyFont="1" applyFill="1" applyBorder="1" applyAlignment="1">
      <alignment horizontal="left"/>
    </xf>
    <xf numFmtId="0" fontId="42" fillId="24" borderId="14" xfId="74" applyFont="1" applyFill="1" applyBorder="1" applyAlignment="1" applyProtection="1">
      <alignment vertical="center" wrapText="1"/>
      <protection locked="0"/>
    </xf>
    <xf numFmtId="1" fontId="42" fillId="24" borderId="14" xfId="200" applyNumberFormat="1" applyFont="1" applyFill="1" applyBorder="1" applyAlignment="1">
      <alignment horizontal="center" vertical="center"/>
    </xf>
    <xf numFmtId="2" fontId="42" fillId="24" borderId="14" xfId="200" applyNumberFormat="1" applyFont="1" applyFill="1" applyBorder="1" applyAlignment="1">
      <alignment horizontal="center" vertical="center"/>
    </xf>
    <xf numFmtId="1" fontId="42" fillId="24" borderId="20" xfId="200" applyNumberFormat="1" applyFont="1" applyFill="1" applyBorder="1" applyAlignment="1">
      <alignment horizontal="center"/>
    </xf>
    <xf numFmtId="2" fontId="42" fillId="24" borderId="20" xfId="200" applyNumberFormat="1" applyFont="1" applyFill="1" applyBorder="1" applyAlignment="1">
      <alignment horizontal="center"/>
    </xf>
    <xf numFmtId="1" fontId="42" fillId="24" borderId="0" xfId="200" applyNumberFormat="1" applyFont="1" applyFill="1" applyBorder="1" applyAlignment="1">
      <alignment horizontal="center"/>
    </xf>
    <xf numFmtId="2" fontId="42" fillId="24" borderId="0" xfId="200" applyNumberFormat="1" applyFont="1" applyFill="1" applyBorder="1" applyAlignment="1">
      <alignment horizontal="center"/>
    </xf>
    <xf numFmtId="1" fontId="42" fillId="29" borderId="20" xfId="136" applyNumberFormat="1" applyFont="1" applyFill="1" applyBorder="1" applyAlignment="1">
      <alignment horizontal="center"/>
    </xf>
    <xf numFmtId="2" fontId="42" fillId="29" borderId="0" xfId="136" applyNumberFormat="1" applyFont="1" applyFill="1" applyBorder="1" applyAlignment="1">
      <alignment horizontal="center"/>
    </xf>
    <xf numFmtId="2" fontId="42" fillId="24" borderId="0" xfId="136" applyNumberFormat="1" applyFont="1" applyFill="1" applyBorder="1" applyAlignment="1">
      <alignment horizontal="center"/>
    </xf>
    <xf numFmtId="2" fontId="64" fillId="24" borderId="0" xfId="200" applyNumberFormat="1" applyFont="1" applyFill="1" applyBorder="1" applyAlignment="1">
      <alignment horizontal="center"/>
    </xf>
    <xf numFmtId="2" fontId="64" fillId="24" borderId="0" xfId="136" applyNumberFormat="1" applyFont="1" applyFill="1" applyBorder="1" applyAlignment="1">
      <alignment horizontal="center"/>
    </xf>
    <xf numFmtId="1" fontId="42" fillId="29" borderId="0" xfId="136" applyNumberFormat="1" applyFont="1" applyFill="1" applyBorder="1" applyAlignment="1">
      <alignment horizontal="center"/>
    </xf>
    <xf numFmtId="2" fontId="42" fillId="24" borderId="14" xfId="200" applyNumberFormat="1" applyFont="1" applyFill="1" applyBorder="1" applyAlignment="1">
      <alignment horizontal="center"/>
    </xf>
    <xf numFmtId="1" fontId="42" fillId="24" borderId="14" xfId="200" applyNumberFormat="1" applyFont="1" applyFill="1" applyBorder="1" applyAlignment="1">
      <alignment horizontal="center"/>
    </xf>
    <xf numFmtId="164" fontId="64" fillId="24" borderId="0" xfId="136" applyFont="1" applyFill="1" applyBorder="1" applyAlignment="1">
      <alignment horizontal="center"/>
    </xf>
    <xf numFmtId="17" fontId="65" fillId="24" borderId="0" xfId="200" applyNumberFormat="1" applyFont="1" applyFill="1" applyBorder="1" applyAlignment="1">
      <alignment horizontal="center"/>
    </xf>
    <xf numFmtId="164" fontId="64" fillId="24" borderId="0" xfId="136" applyFont="1" applyFill="1" applyBorder="1" applyAlignment="1">
      <alignment horizontal="center" vertical="center"/>
    </xf>
    <xf numFmtId="4" fontId="42" fillId="26" borderId="21" xfId="109" applyNumberFormat="1" applyFont="1" applyFill="1" applyBorder="1"/>
    <xf numFmtId="4" fontId="42" fillId="24" borderId="21" xfId="109" applyNumberFormat="1" applyFont="1" applyFill="1" applyBorder="1" applyAlignment="1">
      <alignment horizontal="center"/>
    </xf>
    <xf numFmtId="0" fontId="65" fillId="24" borderId="21" xfId="200" applyFont="1" applyFill="1" applyBorder="1" applyAlignment="1">
      <alignment horizontal="center"/>
    </xf>
    <xf numFmtId="0" fontId="5" fillId="0" borderId="0" xfId="200" applyFont="1"/>
    <xf numFmtId="0" fontId="65" fillId="24" borderId="0" xfId="200" applyFont="1" applyFill="1" applyBorder="1" applyAlignment="1">
      <alignment horizontal="center"/>
    </xf>
    <xf numFmtId="10" fontId="42" fillId="0" borderId="0" xfId="74" applyNumberFormat="1" applyFont="1" applyBorder="1"/>
    <xf numFmtId="4" fontId="42" fillId="26" borderId="0" xfId="74" applyNumberFormat="1" applyFont="1" applyFill="1" applyBorder="1"/>
    <xf numFmtId="0" fontId="42" fillId="24" borderId="0" xfId="200" applyFont="1" applyFill="1" applyBorder="1" applyAlignment="1">
      <alignment horizontal="center"/>
    </xf>
    <xf numFmtId="4" fontId="42" fillId="24" borderId="0" xfId="109" applyNumberFormat="1" applyFont="1" applyFill="1" applyBorder="1" applyAlignment="1">
      <alignment horizontal="center"/>
    </xf>
    <xf numFmtId="0" fontId="5" fillId="0" borderId="0" xfId="200" applyFont="1" applyAlignment="1">
      <alignment horizontal="center"/>
    </xf>
    <xf numFmtId="39" fontId="7" fillId="26" borderId="0" xfId="0" applyNumberFormat="1" applyFont="1" applyFill="1" applyBorder="1" applyAlignment="1" applyProtection="1">
      <alignment horizontal="center" vertical="center"/>
    </xf>
    <xf numFmtId="0" fontId="26" fillId="24" borderId="0" xfId="200" applyFont="1" applyFill="1" applyAlignment="1">
      <alignment horizontal="center" vertical="center"/>
    </xf>
    <xf numFmtId="10" fontId="5" fillId="0" borderId="0" xfId="200" applyNumberFormat="1" applyFont="1"/>
    <xf numFmtId="0" fontId="42" fillId="24" borderId="14" xfId="74" applyFont="1" applyFill="1" applyBorder="1" applyAlignment="1">
      <alignment horizontal="center"/>
    </xf>
    <xf numFmtId="4" fontId="42" fillId="24" borderId="14" xfId="74" applyNumberFormat="1" applyFont="1" applyFill="1" applyBorder="1" applyAlignment="1">
      <alignment horizontal="center" vertical="center"/>
    </xf>
    <xf numFmtId="0" fontId="67" fillId="0" borderId="0" xfId="63" applyFont="1" applyBorder="1" applyAlignment="1">
      <alignment horizontal="centerContinuous" vertical="center"/>
    </xf>
    <xf numFmtId="0" fontId="67" fillId="0" borderId="0" xfId="63" applyFont="1" applyAlignment="1">
      <alignment horizontal="centerContinuous" vertical="center"/>
    </xf>
    <xf numFmtId="0" fontId="5" fillId="0" borderId="0" xfId="200" applyFont="1" applyFill="1" applyBorder="1" applyAlignment="1">
      <alignment vertical="center"/>
    </xf>
    <xf numFmtId="0" fontId="69" fillId="24" borderId="14" xfId="74" applyFont="1" applyFill="1" applyBorder="1" applyAlignment="1" applyProtection="1">
      <alignment horizontal="left"/>
      <protection locked="0"/>
    </xf>
    <xf numFmtId="0" fontId="37" fillId="0" borderId="0" xfId="0" applyNumberFormat="1" applyFont="1" applyFill="1" applyBorder="1" applyAlignment="1">
      <alignment horizontal="left" vertical="center" wrapText="1" readingOrder="1"/>
    </xf>
    <xf numFmtId="4" fontId="37" fillId="0" borderId="20" xfId="0" applyNumberFormat="1" applyFont="1" applyFill="1" applyBorder="1" applyAlignment="1">
      <alignment horizontal="center" vertical="center" wrapText="1" readingOrder="1"/>
    </xf>
    <xf numFmtId="4" fontId="37" fillId="0" borderId="15" xfId="0" applyNumberFormat="1" applyFont="1" applyFill="1" applyBorder="1" applyAlignment="1">
      <alignment horizontal="center" vertical="center" wrapText="1" readingOrder="1"/>
    </xf>
    <xf numFmtId="0" fontId="37" fillId="0" borderId="20" xfId="0" applyNumberFormat="1" applyFont="1" applyFill="1" applyBorder="1" applyAlignment="1">
      <alignment horizontal="center" vertical="center" wrapText="1" readingOrder="1"/>
    </xf>
    <xf numFmtId="0" fontId="37" fillId="0" borderId="29"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center" vertical="center" wrapText="1" readingOrder="1"/>
    </xf>
    <xf numFmtId="0" fontId="37" fillId="0" borderId="27" xfId="0" applyNumberFormat="1" applyFont="1" applyFill="1" applyBorder="1" applyAlignment="1">
      <alignment horizontal="center" vertical="center" wrapText="1" readingOrder="1"/>
    </xf>
    <xf numFmtId="0" fontId="37" fillId="0" borderId="15" xfId="0" applyNumberFormat="1" applyFont="1" applyFill="1" applyBorder="1" applyAlignment="1">
      <alignment horizontal="center" vertical="center" wrapText="1" readingOrder="1"/>
    </xf>
    <xf numFmtId="0" fontId="44" fillId="24" borderId="14" xfId="74" applyFont="1" applyFill="1" applyBorder="1" applyAlignment="1" applyProtection="1">
      <alignment horizontal="center"/>
      <protection locked="0"/>
    </xf>
    <xf numFmtId="4" fontId="35" fillId="0" borderId="0" xfId="61" applyFont="1" applyFill="1" applyBorder="1" applyAlignment="1">
      <alignment vertical="center" wrapText="1" readingOrder="1"/>
    </xf>
    <xf numFmtId="164" fontId="35" fillId="0" borderId="0" xfId="201" applyFont="1" applyFill="1" applyBorder="1" applyAlignment="1">
      <alignment horizontal="center" vertical="center" readingOrder="1"/>
    </xf>
    <xf numFmtId="4" fontId="35" fillId="0" borderId="0" xfId="61" applyNumberFormat="1" applyFont="1" applyFill="1" applyBorder="1" applyAlignment="1">
      <alignment vertical="center" readingOrder="1"/>
    </xf>
    <xf numFmtId="4" fontId="37" fillId="0" borderId="0" xfId="61" applyFont="1" applyFill="1" applyBorder="1" applyAlignment="1">
      <alignment vertical="center" readingOrder="1"/>
    </xf>
    <xf numFmtId="4" fontId="36" fillId="0" borderId="0" xfId="61" applyFont="1" applyFill="1" applyBorder="1" applyAlignment="1">
      <alignment horizontal="center" vertical="center" readingOrder="1"/>
    </xf>
    <xf numFmtId="4" fontId="35" fillId="0" borderId="0" xfId="61" applyFont="1" applyFill="1" applyBorder="1" applyAlignment="1">
      <alignment horizontal="center" vertical="center" readingOrder="1"/>
    </xf>
    <xf numFmtId="4" fontId="36" fillId="0" borderId="14" xfId="61" applyFont="1" applyFill="1" applyBorder="1" applyAlignment="1">
      <alignment horizontal="center" vertical="center" readingOrder="1"/>
    </xf>
    <xf numFmtId="4" fontId="35" fillId="0" borderId="0" xfId="61" applyFont="1" applyFill="1" applyBorder="1" applyAlignment="1">
      <alignment horizontal="center" vertical="center" wrapText="1" readingOrder="1"/>
    </xf>
    <xf numFmtId="10" fontId="38" fillId="0" borderId="14" xfId="61" applyNumberFormat="1" applyFont="1" applyFill="1" applyBorder="1" applyAlignment="1">
      <alignment horizontal="center" vertical="center" wrapText="1" readingOrder="1"/>
    </xf>
    <xf numFmtId="3" fontId="37" fillId="0" borderId="0" xfId="61" applyNumberFormat="1" applyFont="1" applyFill="1" applyBorder="1" applyAlignment="1">
      <alignment horizontal="center" vertical="center" readingOrder="1"/>
    </xf>
    <xf numFmtId="10" fontId="36" fillId="0" borderId="14" xfId="61" applyNumberFormat="1" applyFont="1" applyFill="1" applyBorder="1" applyAlignment="1">
      <alignment horizontal="center" vertical="center" readingOrder="1"/>
    </xf>
    <xf numFmtId="3" fontId="36" fillId="0" borderId="0" xfId="61" applyNumberFormat="1" applyFont="1" applyFill="1" applyBorder="1" applyAlignment="1">
      <alignment horizontal="center" vertical="center" readingOrder="1"/>
    </xf>
    <xf numFmtId="4" fontId="37" fillId="0" borderId="26" xfId="61" applyFont="1" applyFill="1" applyBorder="1" applyAlignment="1">
      <alignment vertical="center" readingOrder="1"/>
    </xf>
    <xf numFmtId="4" fontId="37" fillId="0" borderId="27" xfId="61" applyFont="1" applyFill="1" applyBorder="1" applyAlignment="1">
      <alignment vertical="center" readingOrder="1"/>
    </xf>
    <xf numFmtId="4" fontId="35" fillId="0" borderId="29" xfId="61" applyFont="1" applyFill="1" applyBorder="1" applyAlignment="1">
      <alignment vertical="center" wrapText="1" readingOrder="1"/>
    </xf>
    <xf numFmtId="4" fontId="35" fillId="0" borderId="38" xfId="61" applyNumberFormat="1" applyFont="1" applyFill="1" applyBorder="1" applyAlignment="1">
      <alignment vertical="center" readingOrder="1"/>
    </xf>
    <xf numFmtId="3" fontId="37" fillId="0" borderId="0" xfId="61" quotePrefix="1" applyNumberFormat="1" applyFont="1" applyFill="1" applyBorder="1" applyAlignment="1">
      <alignment horizontal="left" vertical="center" readingOrder="1"/>
    </xf>
    <xf numFmtId="10" fontId="38" fillId="0" borderId="38" xfId="61" applyNumberFormat="1" applyFont="1" applyFill="1" applyBorder="1" applyAlignment="1">
      <alignment horizontal="center" vertical="center" wrapText="1" readingOrder="1"/>
    </xf>
    <xf numFmtId="4" fontId="37" fillId="0" borderId="36" xfId="61" applyFont="1" applyFill="1" applyBorder="1" applyAlignment="1">
      <alignment vertical="center" readingOrder="1"/>
    </xf>
    <xf numFmtId="4" fontId="37" fillId="0" borderId="29" xfId="61" applyFont="1" applyFill="1" applyBorder="1" applyAlignment="1">
      <alignment vertical="center" readingOrder="1"/>
    </xf>
    <xf numFmtId="4" fontId="37" fillId="0" borderId="0" xfId="61" applyNumberFormat="1" applyFont="1" applyFill="1" applyBorder="1" applyAlignment="1">
      <alignment vertical="center" readingOrder="1"/>
    </xf>
    <xf numFmtId="4" fontId="37" fillId="0" borderId="38" xfId="61" applyFont="1" applyFill="1" applyBorder="1" applyAlignment="1">
      <alignment vertical="distributed" readingOrder="1"/>
    </xf>
    <xf numFmtId="4" fontId="37" fillId="0" borderId="20" xfId="61" applyFont="1" applyFill="1" applyBorder="1" applyAlignment="1">
      <alignment vertical="center" readingOrder="1"/>
    </xf>
    <xf numFmtId="4" fontId="37" fillId="0" borderId="37" xfId="61" applyFont="1" applyFill="1" applyBorder="1" applyAlignment="1">
      <alignment vertical="center" readingOrder="1"/>
    </xf>
    <xf numFmtId="4" fontId="37" fillId="0" borderId="14" xfId="61" applyFont="1" applyFill="1" applyBorder="1" applyAlignment="1">
      <alignment horizontal="center" vertical="center" readingOrder="1"/>
    </xf>
    <xf numFmtId="10" fontId="37" fillId="26" borderId="14" xfId="61" applyNumberFormat="1" applyFont="1" applyFill="1" applyBorder="1" applyAlignment="1">
      <alignment horizontal="center" vertical="center" readingOrder="1"/>
    </xf>
    <xf numFmtId="10" fontId="38" fillId="0" borderId="0" xfId="61" applyNumberFormat="1" applyFont="1" applyFill="1" applyBorder="1" applyAlignment="1">
      <alignment horizontal="center" vertical="center" readingOrder="1"/>
    </xf>
    <xf numFmtId="10" fontId="37" fillId="0" borderId="37" xfId="61" applyNumberFormat="1" applyFont="1" applyFill="1" applyBorder="1" applyAlignment="1">
      <alignment horizontal="center" vertical="center" readingOrder="1"/>
    </xf>
    <xf numFmtId="4" fontId="37" fillId="0" borderId="0" xfId="61" applyFont="1" applyFill="1" applyBorder="1" applyAlignment="1">
      <alignment vertical="center" readingOrder="1"/>
    </xf>
    <xf numFmtId="4" fontId="35" fillId="0" borderId="29" xfId="61" applyFont="1" applyFill="1" applyBorder="1" applyAlignment="1">
      <alignment horizontal="center" vertical="center" readingOrder="1"/>
    </xf>
    <xf numFmtId="4" fontId="37" fillId="0" borderId="0" xfId="61" applyFont="1" applyFill="1" applyBorder="1" applyAlignment="1">
      <alignment horizontal="center" vertical="center" readingOrder="1"/>
    </xf>
    <xf numFmtId="4" fontId="37" fillId="0" borderId="38" xfId="61" applyFont="1" applyFill="1" applyBorder="1" applyAlignment="1">
      <alignment horizontal="center" vertical="center" readingOrder="1"/>
    </xf>
    <xf numFmtId="4" fontId="38" fillId="0" borderId="14" xfId="61" applyFont="1" applyBorder="1" applyAlignment="1">
      <alignment horizontal="center" vertical="center"/>
    </xf>
    <xf numFmtId="4" fontId="37" fillId="0" borderId="0" xfId="61" applyFont="1" applyFill="1" applyBorder="1" applyAlignment="1">
      <alignment vertical="center" wrapText="1" readingOrder="1"/>
    </xf>
    <xf numFmtId="3" fontId="38" fillId="0" borderId="29" xfId="61" applyNumberFormat="1" applyFont="1" applyFill="1" applyBorder="1" applyAlignment="1">
      <alignment horizontal="center" vertical="center" readingOrder="1"/>
    </xf>
    <xf numFmtId="4" fontId="37" fillId="0" borderId="0" xfId="61" applyFont="1" applyFill="1" applyBorder="1" applyAlignment="1">
      <alignment horizontal="center" vertical="center" wrapText="1" readingOrder="1"/>
    </xf>
    <xf numFmtId="10" fontId="37" fillId="0" borderId="38" xfId="61" applyNumberFormat="1" applyFont="1" applyFill="1" applyBorder="1" applyAlignment="1">
      <alignment horizontal="center" vertical="center" wrapText="1" readingOrder="1"/>
    </xf>
    <xf numFmtId="4" fontId="38" fillId="0" borderId="14" xfId="61" applyFont="1" applyBorder="1" applyAlignment="1">
      <alignment horizontal="center" vertical="center" wrapText="1"/>
    </xf>
    <xf numFmtId="3" fontId="38" fillId="0" borderId="27" xfId="61" applyNumberFormat="1" applyFont="1" applyFill="1" applyBorder="1" applyAlignment="1">
      <alignment horizontal="center" vertical="center" readingOrder="1"/>
    </xf>
    <xf numFmtId="4" fontId="37" fillId="0" borderId="15" xfId="61" applyFont="1" applyFill="1" applyBorder="1" applyAlignment="1">
      <alignment horizontal="center" vertical="center" wrapText="1" readingOrder="1"/>
    </xf>
    <xf numFmtId="10" fontId="37" fillId="0" borderId="39" xfId="61" applyNumberFormat="1" applyFont="1" applyFill="1" applyBorder="1" applyAlignment="1">
      <alignment horizontal="center" vertical="center" wrapText="1" readingOrder="1"/>
    </xf>
    <xf numFmtId="3" fontId="38" fillId="0" borderId="29" xfId="61" applyNumberFormat="1" applyFont="1" applyFill="1" applyBorder="1" applyAlignment="1">
      <alignment vertical="center" readingOrder="1"/>
    </xf>
    <xf numFmtId="4" fontId="37" fillId="0" borderId="29" xfId="61" applyFont="1" applyFill="1" applyBorder="1" applyAlignment="1">
      <alignment vertical="center" wrapText="1" readingOrder="1"/>
    </xf>
    <xf numFmtId="3" fontId="37" fillId="0" borderId="29" xfId="61" applyNumberFormat="1" applyFont="1" applyFill="1" applyBorder="1" applyAlignment="1">
      <alignment vertical="center" wrapText="1" readingOrder="1"/>
    </xf>
    <xf numFmtId="0" fontId="56" fillId="28" borderId="14" xfId="63" applyFont="1" applyFill="1" applyBorder="1" applyAlignment="1">
      <alignment horizontal="center" vertical="center"/>
    </xf>
    <xf numFmtId="0" fontId="42" fillId="28" borderId="14" xfId="63" applyFont="1" applyFill="1" applyBorder="1" applyAlignment="1">
      <alignment horizontal="center" vertical="center"/>
    </xf>
    <xf numFmtId="0" fontId="6" fillId="0" borderId="14" xfId="108" applyFont="1" applyFill="1" applyBorder="1" applyAlignment="1">
      <alignment horizontal="center" vertical="center"/>
    </xf>
    <xf numFmtId="0" fontId="54" fillId="0" borderId="0" xfId="63" applyFill="1"/>
    <xf numFmtId="4" fontId="37" fillId="0" borderId="20" xfId="0" applyNumberFormat="1" applyFont="1" applyFill="1" applyBorder="1" applyAlignment="1">
      <alignment horizontal="center" vertical="center" wrapText="1" readingOrder="1"/>
    </xf>
    <xf numFmtId="0" fontId="37" fillId="0" borderId="14" xfId="0" applyNumberFormat="1" applyFont="1" applyFill="1" applyBorder="1" applyAlignment="1">
      <alignment horizontal="center" vertical="center" readingOrder="1"/>
    </xf>
    <xf numFmtId="164" fontId="37" fillId="0" borderId="37" xfId="194" applyFont="1" applyFill="1" applyBorder="1" applyAlignment="1">
      <alignment horizontal="right" vertical="center" wrapText="1" readingOrder="1"/>
    </xf>
    <xf numFmtId="164" fontId="37" fillId="0" borderId="38" xfId="194" applyFont="1" applyFill="1" applyBorder="1" applyAlignment="1">
      <alignment horizontal="right" vertical="center" wrapText="1" readingOrder="1"/>
    </xf>
    <xf numFmtId="2" fontId="37" fillId="0" borderId="20"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right" vertical="center" readingOrder="1"/>
    </xf>
    <xf numFmtId="2" fontId="37" fillId="0" borderId="0" xfId="0" applyNumberFormat="1" applyFont="1" applyFill="1" applyBorder="1" applyAlignment="1">
      <alignment horizontal="center" vertical="center" wrapText="1" readingOrder="1"/>
    </xf>
    <xf numFmtId="164" fontId="37" fillId="0" borderId="39" xfId="194" applyFont="1" applyFill="1" applyBorder="1" applyAlignment="1">
      <alignment horizontal="right" vertical="center" wrapText="1" readingOrder="1"/>
    </xf>
    <xf numFmtId="4" fontId="37" fillId="0" borderId="0" xfId="0" applyNumberFormat="1" applyFont="1" applyFill="1" applyBorder="1" applyAlignment="1">
      <alignment vertical="center" wrapText="1" readingOrder="1"/>
    </xf>
    <xf numFmtId="0" fontId="37" fillId="0" borderId="37" xfId="0" applyNumberFormat="1" applyFont="1" applyFill="1" applyBorder="1" applyAlignment="1">
      <alignment vertical="center" wrapText="1" readingOrder="1"/>
    </xf>
    <xf numFmtId="0" fontId="37" fillId="0" borderId="38" xfId="0" applyNumberFormat="1" applyFont="1" applyFill="1" applyBorder="1" applyAlignment="1">
      <alignment vertical="center" wrapText="1" readingOrder="1"/>
    </xf>
    <xf numFmtId="164" fontId="37" fillId="0" borderId="21" xfId="194" applyFont="1" applyFill="1" applyBorder="1" applyAlignment="1">
      <alignment horizontal="right" vertical="center" wrapText="1" readingOrder="1"/>
    </xf>
    <xf numFmtId="164" fontId="37" fillId="0" borderId="24" xfId="194" applyFont="1" applyFill="1" applyBorder="1" applyAlignment="1">
      <alignment horizontal="right" vertical="center" wrapText="1" readingOrder="1"/>
    </xf>
    <xf numFmtId="164" fontId="37" fillId="0" borderId="23" xfId="194" applyFont="1" applyFill="1" applyBorder="1" applyAlignment="1">
      <alignment horizontal="right" vertical="center" wrapText="1" readingOrder="1"/>
    </xf>
    <xf numFmtId="164" fontId="37" fillId="0" borderId="14" xfId="194" applyFont="1" applyFill="1" applyBorder="1" applyAlignment="1">
      <alignment horizontal="right" vertical="center" wrapText="1" readingOrder="1"/>
    </xf>
    <xf numFmtId="3" fontId="37" fillId="0" borderId="14" xfId="0" applyNumberFormat="1" applyFont="1" applyFill="1" applyBorder="1" applyAlignment="1">
      <alignment horizontal="center" vertical="center" wrapText="1" readingOrder="1"/>
    </xf>
    <xf numFmtId="43" fontId="37" fillId="0" borderId="14" xfId="194" applyNumberFormat="1" applyFont="1" applyFill="1" applyBorder="1" applyAlignment="1">
      <alignment horizontal="right" vertical="center" wrapText="1" readingOrder="1"/>
    </xf>
    <xf numFmtId="0" fontId="37" fillId="0" borderId="42" xfId="0" applyNumberFormat="1" applyFont="1" applyFill="1" applyBorder="1" applyAlignment="1">
      <alignment vertical="center" wrapText="1" readingOrder="1"/>
    </xf>
    <xf numFmtId="3" fontId="37" fillId="0" borderId="36" xfId="0" applyNumberFormat="1" applyFont="1" applyFill="1" applyBorder="1" applyAlignment="1">
      <alignment horizontal="center" vertical="center" wrapText="1" readingOrder="1"/>
    </xf>
    <xf numFmtId="3" fontId="37" fillId="0" borderId="29"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left" vertical="center" readingOrder="1"/>
    </xf>
    <xf numFmtId="3" fontId="37" fillId="0" borderId="27" xfId="0" applyNumberFormat="1" applyFont="1" applyFill="1" applyBorder="1" applyAlignment="1">
      <alignment horizontal="center" vertical="center" wrapText="1" readingOrder="1"/>
    </xf>
    <xf numFmtId="0" fontId="37" fillId="0" borderId="29" xfId="0" applyNumberFormat="1" applyFont="1" applyFill="1" applyBorder="1" applyAlignment="1">
      <alignment horizontal="left" vertical="center" wrapText="1" readingOrder="1"/>
    </xf>
    <xf numFmtId="0" fontId="37" fillId="0" borderId="38" xfId="0" applyNumberFormat="1" applyFont="1" applyFill="1" applyBorder="1" applyAlignment="1">
      <alignment horizontal="left" vertical="center" wrapText="1" readingOrder="1"/>
    </xf>
    <xf numFmtId="0" fontId="38" fillId="0" borderId="14" xfId="0" applyNumberFormat="1" applyFont="1" applyFill="1" applyBorder="1" applyAlignment="1">
      <alignment horizontal="center" vertical="center" wrapText="1" readingOrder="1"/>
    </xf>
    <xf numFmtId="0" fontId="37" fillId="0" borderId="42" xfId="0" applyNumberFormat="1" applyFont="1" applyFill="1" applyBorder="1" applyAlignment="1">
      <alignment horizontal="center" vertical="center" wrapText="1" readingOrder="1"/>
    </xf>
    <xf numFmtId="164" fontId="37" fillId="0" borderId="43" xfId="194" applyFont="1" applyFill="1" applyBorder="1" applyAlignment="1">
      <alignment horizontal="right" vertical="center" wrapText="1" readingOrder="1"/>
    </xf>
    <xf numFmtId="0" fontId="38" fillId="0" borderId="23" xfId="0" applyNumberFormat="1" applyFont="1" applyFill="1" applyBorder="1" applyAlignment="1">
      <alignment horizontal="center" vertical="center" wrapText="1" readingOrder="1"/>
    </xf>
    <xf numFmtId="164" fontId="55" fillId="0" borderId="38" xfId="194" applyFont="1" applyFill="1" applyBorder="1" applyAlignment="1">
      <alignment horizontal="right" vertical="center" wrapText="1" readingOrder="1"/>
    </xf>
    <xf numFmtId="3" fontId="37" fillId="0" borderId="23" xfId="0" applyNumberFormat="1" applyFont="1" applyFill="1" applyBorder="1" applyAlignment="1">
      <alignment horizontal="center" vertical="center" wrapText="1" readingOrder="1"/>
    </xf>
    <xf numFmtId="3" fontId="37" fillId="0" borderId="21" xfId="0" applyNumberFormat="1" applyFont="1" applyFill="1" applyBorder="1" applyAlignment="1">
      <alignment horizontal="center" vertical="center" wrapText="1" readingOrder="1"/>
    </xf>
    <xf numFmtId="164" fontId="55" fillId="0" borderId="37" xfId="194" applyFont="1" applyFill="1" applyBorder="1" applyAlignment="1">
      <alignment horizontal="right" vertical="center" wrapText="1" readingOrder="1"/>
    </xf>
    <xf numFmtId="0" fontId="39" fillId="0" borderId="0" xfId="61" applyNumberFormat="1" applyFont="1" applyFill="1" applyBorder="1" applyAlignment="1">
      <alignment vertical="center" wrapText="1" readingOrder="1"/>
    </xf>
    <xf numFmtId="4" fontId="37" fillId="0" borderId="0" xfId="61" applyNumberFormat="1" applyFont="1" applyFill="1" applyBorder="1" applyAlignment="1">
      <alignment horizontal="center" vertical="center" wrapText="1" readingOrder="1"/>
    </xf>
    <xf numFmtId="0" fontId="37" fillId="0" borderId="0" xfId="61" applyNumberFormat="1" applyFont="1" applyFill="1" applyBorder="1" applyAlignment="1">
      <alignment vertical="center" wrapText="1" readingOrder="1"/>
    </xf>
    <xf numFmtId="4" fontId="37" fillId="0" borderId="20" xfId="61" applyNumberFormat="1" applyFont="1" applyFill="1" applyBorder="1" applyAlignment="1">
      <alignment horizontal="center" vertical="center" wrapText="1" readingOrder="1"/>
    </xf>
    <xf numFmtId="4" fontId="37" fillId="0" borderId="15" xfId="61" applyNumberFormat="1" applyFont="1" applyFill="1" applyBorder="1" applyAlignment="1">
      <alignment horizontal="center" vertical="center" wrapText="1" readingOrder="1"/>
    </xf>
    <xf numFmtId="164" fontId="55" fillId="0" borderId="39" xfId="194" applyFont="1" applyFill="1" applyBorder="1" applyAlignment="1">
      <alignment horizontal="right" vertical="center" wrapText="1" readingOrder="1"/>
    </xf>
    <xf numFmtId="10" fontId="37" fillId="0" borderId="42" xfId="61" applyNumberFormat="1" applyFont="1" applyFill="1" applyBorder="1" applyAlignment="1">
      <alignment horizontal="center" vertical="center" readingOrder="1"/>
    </xf>
    <xf numFmtId="10" fontId="37" fillId="0" borderId="43" xfId="61" applyNumberFormat="1" applyFont="1" applyFill="1" applyBorder="1" applyAlignment="1">
      <alignment horizontal="center" vertical="center" readingOrder="1"/>
    </xf>
    <xf numFmtId="10" fontId="37" fillId="0" borderId="14" xfId="61" applyNumberFormat="1" applyFont="1" applyFill="1" applyBorder="1" applyAlignment="1">
      <alignment horizontal="center" vertical="center" readingOrder="1"/>
    </xf>
    <xf numFmtId="4" fontId="38" fillId="0" borderId="36" xfId="61" applyFont="1" applyFill="1" applyBorder="1" applyAlignment="1">
      <alignment horizontal="center" vertical="center" wrapText="1" readingOrder="1"/>
    </xf>
    <xf numFmtId="4" fontId="38" fillId="0" borderId="20" xfId="61" applyFont="1" applyFill="1" applyBorder="1" applyAlignment="1">
      <alignment horizontal="center" vertical="center" wrapText="1" readingOrder="1"/>
    </xf>
    <xf numFmtId="10" fontId="38" fillId="0" borderId="37" xfId="61" applyNumberFormat="1" applyFont="1" applyFill="1" applyBorder="1" applyAlignment="1">
      <alignment horizontal="center" vertical="center" wrapText="1" readingOrder="1"/>
    </xf>
    <xf numFmtId="49" fontId="37" fillId="0" borderId="14" xfId="0" applyNumberFormat="1" applyFont="1" applyFill="1" applyBorder="1" applyAlignment="1">
      <alignment vertical="center" wrapText="1" readingOrder="1"/>
    </xf>
    <xf numFmtId="49" fontId="37" fillId="0" borderId="14" xfId="0" applyNumberFormat="1" applyFont="1" applyFill="1" applyBorder="1" applyAlignment="1">
      <alignment horizontal="left" vertical="center" wrapText="1" readingOrder="1"/>
    </xf>
    <xf numFmtId="0" fontId="37" fillId="0" borderId="14" xfId="0" applyNumberFormat="1" applyFont="1" applyFill="1" applyBorder="1" applyAlignment="1">
      <alignment horizontal="center" vertical="center" wrapText="1" readingOrder="1"/>
    </xf>
    <xf numFmtId="10" fontId="41" fillId="0" borderId="0" xfId="117" applyNumberFormat="1" applyFont="1" applyFill="1" applyBorder="1" applyAlignment="1">
      <alignment horizontal="center" vertical="center" readingOrder="1"/>
    </xf>
    <xf numFmtId="0" fontId="37" fillId="0" borderId="14" xfId="0" applyNumberFormat="1" applyFont="1" applyFill="1" applyBorder="1" applyAlignment="1">
      <alignment vertical="center" wrapText="1" readingOrder="1"/>
    </xf>
    <xf numFmtId="0" fontId="37" fillId="0" borderId="20" xfId="0" applyNumberFormat="1" applyFont="1" applyFill="1" applyBorder="1" applyAlignment="1">
      <alignment vertical="center" wrapText="1" readingOrder="1"/>
    </xf>
    <xf numFmtId="0" fontId="37" fillId="0" borderId="15" xfId="0" applyNumberFormat="1" applyFont="1" applyFill="1" applyBorder="1" applyAlignment="1">
      <alignment vertical="center" wrapText="1" readingOrder="1"/>
    </xf>
    <xf numFmtId="0" fontId="37" fillId="0" borderId="36" xfId="0" applyNumberFormat="1" applyFont="1" applyFill="1" applyBorder="1" applyAlignment="1">
      <alignment horizontal="center" vertical="center" wrapText="1" readingOrder="1"/>
    </xf>
    <xf numFmtId="0" fontId="37" fillId="0" borderId="14" xfId="0" applyNumberFormat="1" applyFont="1" applyFill="1" applyBorder="1" applyAlignment="1">
      <alignment horizontal="center" vertical="center" wrapText="1" readingOrder="1"/>
    </xf>
    <xf numFmtId="0" fontId="37" fillId="0" borderId="20" xfId="0" applyNumberFormat="1" applyFont="1" applyFill="1" applyBorder="1" applyAlignment="1">
      <alignment horizontal="center" vertical="center" wrapText="1" readingOrder="1"/>
    </xf>
    <xf numFmtId="0" fontId="37" fillId="0" borderId="29"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center" vertical="center" wrapText="1" readingOrder="1"/>
    </xf>
    <xf numFmtId="0" fontId="37" fillId="0" borderId="15" xfId="0" applyNumberFormat="1" applyFont="1" applyFill="1" applyBorder="1" applyAlignment="1">
      <alignment horizontal="center" vertical="center" wrapText="1" readingOrder="1"/>
    </xf>
    <xf numFmtId="4" fontId="35" fillId="0" borderId="0" xfId="0" applyFont="1" applyFill="1" applyBorder="1" applyAlignment="1">
      <alignment horizontal="center" vertical="center" readingOrder="1"/>
    </xf>
    <xf numFmtId="1" fontId="40" fillId="0" borderId="23" xfId="0" applyNumberFormat="1" applyFont="1" applyFill="1" applyBorder="1" applyAlignment="1">
      <alignment horizontal="center" vertical="center" readingOrder="1"/>
    </xf>
    <xf numFmtId="164" fontId="40" fillId="0" borderId="23" xfId="194" applyFont="1" applyFill="1" applyBorder="1" applyAlignment="1" applyProtection="1">
      <alignment horizontal="center" vertical="center" wrapText="1" readingOrder="1"/>
      <protection locked="0"/>
    </xf>
    <xf numFmtId="4" fontId="40" fillId="0" borderId="23" xfId="0" applyNumberFormat="1" applyFont="1" applyFill="1" applyBorder="1" applyAlignment="1">
      <alignment horizontal="center" vertical="center" wrapText="1" readingOrder="1"/>
    </xf>
    <xf numFmtId="4" fontId="37" fillId="0" borderId="0" xfId="0" applyNumberFormat="1" applyFont="1" applyFill="1" applyBorder="1" applyAlignment="1">
      <alignment horizontal="center" vertical="center" wrapText="1" readingOrder="1"/>
    </xf>
    <xf numFmtId="0" fontId="37" fillId="0" borderId="15" xfId="0" applyNumberFormat="1" applyFont="1" applyFill="1" applyBorder="1" applyAlignment="1">
      <alignment vertical="center" wrapText="1" readingOrder="1"/>
    </xf>
    <xf numFmtId="0" fontId="37" fillId="0" borderId="36" xfId="0" applyNumberFormat="1" applyFont="1" applyFill="1" applyBorder="1" applyAlignment="1">
      <alignment horizontal="center" vertical="center" wrapText="1" readingOrder="1"/>
    </xf>
    <xf numFmtId="0" fontId="37" fillId="0" borderId="20" xfId="0" applyNumberFormat="1" applyFont="1" applyFill="1" applyBorder="1" applyAlignment="1">
      <alignment vertical="center" wrapText="1" readingOrder="1"/>
    </xf>
    <xf numFmtId="0" fontId="37" fillId="0" borderId="20" xfId="0" applyNumberFormat="1" applyFont="1" applyFill="1" applyBorder="1" applyAlignment="1">
      <alignment horizontal="center" vertical="center" wrapText="1" readingOrder="1"/>
    </xf>
    <xf numFmtId="0" fontId="37" fillId="0" borderId="29"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center" vertical="center" wrapText="1" readingOrder="1"/>
    </xf>
    <xf numFmtId="0" fontId="37" fillId="0" borderId="27" xfId="0" applyNumberFormat="1" applyFont="1" applyFill="1" applyBorder="1" applyAlignment="1">
      <alignment horizontal="center" vertical="center" wrapText="1" readingOrder="1"/>
    </xf>
    <xf numFmtId="0" fontId="37" fillId="0" borderId="15"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left" vertical="center" wrapText="1" readingOrder="1"/>
    </xf>
    <xf numFmtId="0" fontId="37" fillId="0" borderId="14" xfId="0" applyNumberFormat="1" applyFont="1" applyFill="1" applyBorder="1" applyAlignment="1">
      <alignment horizontal="center" vertical="center" wrapText="1" readingOrder="1"/>
    </xf>
    <xf numFmtId="0" fontId="37" fillId="0" borderId="29"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center" vertical="center" wrapText="1" readingOrder="1"/>
    </xf>
    <xf numFmtId="0" fontId="37" fillId="0" borderId="15" xfId="0" applyNumberFormat="1" applyFont="1" applyFill="1" applyBorder="1" applyAlignment="1">
      <alignment vertical="center" wrapText="1" readingOrder="1"/>
    </xf>
    <xf numFmtId="0" fontId="37" fillId="0" borderId="36" xfId="0" applyNumberFormat="1" applyFont="1" applyFill="1" applyBorder="1" applyAlignment="1">
      <alignment horizontal="center" vertical="center" wrapText="1" readingOrder="1"/>
    </xf>
    <xf numFmtId="0" fontId="37" fillId="0" borderId="20" xfId="0" applyNumberFormat="1" applyFont="1" applyFill="1" applyBorder="1" applyAlignment="1">
      <alignment vertical="center" wrapText="1" readingOrder="1"/>
    </xf>
    <xf numFmtId="0" fontId="37" fillId="0" borderId="0" xfId="0" applyNumberFormat="1" applyFont="1" applyFill="1" applyBorder="1" applyAlignment="1">
      <alignment horizontal="left" vertical="center" wrapText="1" readingOrder="1"/>
    </xf>
    <xf numFmtId="0" fontId="37" fillId="0" borderId="20" xfId="0" applyNumberFormat="1" applyFont="1" applyFill="1" applyBorder="1" applyAlignment="1">
      <alignment horizontal="center" vertical="center" wrapText="1" readingOrder="1"/>
    </xf>
    <xf numFmtId="0" fontId="37" fillId="0" borderId="29"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center" vertical="center" wrapText="1" readingOrder="1"/>
    </xf>
    <xf numFmtId="0" fontId="37" fillId="0" borderId="27" xfId="0" applyNumberFormat="1" applyFont="1" applyFill="1" applyBorder="1" applyAlignment="1">
      <alignment horizontal="center" vertical="center" wrapText="1" readingOrder="1"/>
    </xf>
    <xf numFmtId="0" fontId="37" fillId="0" borderId="15" xfId="0" applyNumberFormat="1" applyFont="1" applyFill="1" applyBorder="1" applyAlignment="1">
      <alignment horizontal="center" vertical="center" wrapText="1" readingOrder="1"/>
    </xf>
    <xf numFmtId="0" fontId="37" fillId="0" borderId="38" xfId="0" applyNumberFormat="1" applyFont="1" applyFill="1" applyBorder="1" applyAlignment="1">
      <alignment horizontal="left" vertical="center" readingOrder="1"/>
    </xf>
    <xf numFmtId="0" fontId="35" fillId="0" borderId="38" xfId="0" applyNumberFormat="1" applyFont="1" applyFill="1" applyBorder="1" applyAlignment="1">
      <alignment vertical="center" readingOrder="1"/>
    </xf>
    <xf numFmtId="0" fontId="37" fillId="0" borderId="14" xfId="0" applyNumberFormat="1" applyFont="1" applyFill="1" applyBorder="1" applyAlignment="1">
      <alignment horizontal="center" vertical="center" wrapText="1" readingOrder="1"/>
    </xf>
    <xf numFmtId="0" fontId="37" fillId="0" borderId="15" xfId="0" applyNumberFormat="1" applyFont="1" applyFill="1" applyBorder="1" applyAlignment="1">
      <alignment vertical="center" wrapText="1" readingOrder="1"/>
    </xf>
    <xf numFmtId="0" fontId="37" fillId="0" borderId="39" xfId="0" applyNumberFormat="1" applyFont="1" applyFill="1" applyBorder="1" applyAlignment="1">
      <alignment vertical="center" wrapText="1" readingOrder="1"/>
    </xf>
    <xf numFmtId="0" fontId="37" fillId="0" borderId="29"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center" vertical="center" wrapText="1" readingOrder="1"/>
    </xf>
    <xf numFmtId="0" fontId="37" fillId="0" borderId="27" xfId="0" applyNumberFormat="1" applyFont="1" applyFill="1" applyBorder="1" applyAlignment="1">
      <alignment horizontal="center" vertical="center" wrapText="1" readingOrder="1"/>
    </xf>
    <xf numFmtId="0" fontId="37" fillId="0" borderId="15" xfId="0" applyNumberFormat="1" applyFont="1" applyFill="1" applyBorder="1" applyAlignment="1">
      <alignment horizontal="center" vertical="center" wrapText="1" readingOrder="1"/>
    </xf>
    <xf numFmtId="0" fontId="57" fillId="27" borderId="14" xfId="63" applyFont="1" applyFill="1" applyBorder="1" applyAlignment="1">
      <alignment horizontal="center" vertical="center"/>
    </xf>
    <xf numFmtId="0" fontId="5" fillId="0" borderId="0" xfId="200" applyFont="1" applyFill="1" applyAlignment="1">
      <alignment horizontal="center"/>
    </xf>
    <xf numFmtId="4" fontId="42" fillId="0" borderId="20" xfId="109" applyNumberFormat="1" applyFont="1" applyFill="1" applyBorder="1"/>
    <xf numFmtId="4" fontId="42" fillId="0" borderId="20" xfId="109" applyNumberFormat="1" applyFont="1" applyFill="1" applyBorder="1" applyAlignment="1">
      <alignment horizontal="center"/>
    </xf>
    <xf numFmtId="0" fontId="44" fillId="0" borderId="43" xfId="74" applyFont="1" applyFill="1" applyBorder="1" applyAlignment="1">
      <alignment horizontal="center" vertical="center"/>
    </xf>
    <xf numFmtId="0" fontId="44" fillId="0" borderId="14" xfId="74" applyFont="1" applyFill="1" applyBorder="1" applyAlignment="1">
      <alignment horizontal="center" vertical="center"/>
    </xf>
    <xf numFmtId="4" fontId="44" fillId="0" borderId="14" xfId="74" applyNumberFormat="1" applyFont="1" applyFill="1" applyBorder="1" applyAlignment="1">
      <alignment horizontal="center" vertical="center"/>
    </xf>
    <xf numFmtId="10" fontId="44" fillId="0" borderId="14" xfId="74" applyNumberFormat="1" applyFont="1" applyFill="1" applyBorder="1" applyAlignment="1">
      <alignment horizontal="center" vertical="center"/>
    </xf>
    <xf numFmtId="0" fontId="5" fillId="0" borderId="0" xfId="200" applyFont="1" applyFill="1"/>
    <xf numFmtId="1" fontId="42" fillId="0" borderId="0" xfId="136" applyNumberFormat="1" applyFont="1" applyFill="1" applyBorder="1" applyAlignment="1">
      <alignment horizontal="center"/>
    </xf>
    <xf numFmtId="2" fontId="42" fillId="0" borderId="0" xfId="136" applyNumberFormat="1" applyFont="1" applyFill="1" applyBorder="1" applyAlignment="1">
      <alignment horizontal="center"/>
    </xf>
    <xf numFmtId="2" fontId="64" fillId="0" borderId="0" xfId="200" applyNumberFormat="1" applyFont="1" applyFill="1" applyBorder="1" applyAlignment="1">
      <alignment horizontal="center"/>
    </xf>
    <xf numFmtId="2" fontId="64" fillId="0" borderId="0" xfId="136" applyNumberFormat="1" applyFont="1" applyFill="1" applyBorder="1" applyAlignment="1">
      <alignment horizontal="center"/>
    </xf>
    <xf numFmtId="1" fontId="42" fillId="0" borderId="0" xfId="200" applyNumberFormat="1" applyFont="1" applyFill="1" applyBorder="1" applyAlignment="1">
      <alignment horizontal="center"/>
    </xf>
    <xf numFmtId="2" fontId="42" fillId="0" borderId="0" xfId="200" applyNumberFormat="1" applyFont="1" applyFill="1" applyBorder="1" applyAlignment="1">
      <alignment horizontal="center"/>
    </xf>
    <xf numFmtId="0" fontId="37" fillId="0" borderId="27" xfId="0" applyNumberFormat="1" applyFont="1" applyFill="1" applyBorder="1" applyAlignment="1">
      <alignment horizontal="left" vertical="center" wrapText="1" readingOrder="1"/>
    </xf>
    <xf numFmtId="0" fontId="37" fillId="0" borderId="15" xfId="0" applyNumberFormat="1" applyFont="1" applyFill="1" applyBorder="1" applyAlignment="1">
      <alignment horizontal="left" vertical="center" wrapText="1" readingOrder="1"/>
    </xf>
    <xf numFmtId="0" fontId="37" fillId="0" borderId="39" xfId="0" applyNumberFormat="1" applyFont="1" applyFill="1" applyBorder="1" applyAlignment="1">
      <alignment horizontal="left" vertical="center" wrapText="1" readingOrder="1"/>
    </xf>
    <xf numFmtId="0" fontId="37" fillId="0" borderId="14" xfId="0" applyNumberFormat="1" applyFont="1" applyFill="1" applyBorder="1" applyAlignment="1">
      <alignment horizontal="center" vertical="center" wrapText="1" readingOrder="1"/>
    </xf>
    <xf numFmtId="0" fontId="37" fillId="0" borderId="15" xfId="0" applyNumberFormat="1" applyFont="1" applyFill="1" applyBorder="1" applyAlignment="1">
      <alignment vertical="center" wrapText="1" readingOrder="1"/>
    </xf>
    <xf numFmtId="0" fontId="37" fillId="0" borderId="39" xfId="0" applyNumberFormat="1" applyFont="1" applyFill="1" applyBorder="1" applyAlignment="1">
      <alignment vertical="center" wrapText="1" readingOrder="1"/>
    </xf>
    <xf numFmtId="0" fontId="40" fillId="0" borderId="14" xfId="0" applyNumberFormat="1" applyFont="1" applyFill="1" applyBorder="1" applyAlignment="1">
      <alignment horizontal="center" vertical="center" wrapText="1" readingOrder="1"/>
    </xf>
    <xf numFmtId="4" fontId="35" fillId="0" borderId="0" xfId="0" applyFont="1" applyFill="1" applyBorder="1" applyAlignment="1">
      <alignment horizontal="center" vertical="center" wrapText="1" readingOrder="1"/>
    </xf>
    <xf numFmtId="0" fontId="68" fillId="0" borderId="0" xfId="63" applyFont="1" applyBorder="1" applyAlignment="1">
      <alignment horizontal="centerContinuous" vertical="center"/>
    </xf>
    <xf numFmtId="0" fontId="66" fillId="0" borderId="0" xfId="63" applyFont="1" applyBorder="1" applyAlignment="1">
      <alignment horizontal="centerContinuous" vertical="center"/>
    </xf>
    <xf numFmtId="0" fontId="72" fillId="0" borderId="0" xfId="63" applyFont="1"/>
    <xf numFmtId="0" fontId="71" fillId="0" borderId="0" xfId="63" applyFont="1" applyBorder="1" applyAlignment="1">
      <alignment horizontal="centerContinuous" vertical="center"/>
    </xf>
    <xf numFmtId="0" fontId="73" fillId="0" borderId="0" xfId="63" applyFont="1" applyBorder="1" applyAlignment="1">
      <alignment horizontal="centerContinuous" vertical="center"/>
    </xf>
    <xf numFmtId="0" fontId="73" fillId="0" borderId="0" xfId="63" applyFont="1" applyAlignment="1">
      <alignment horizontal="centerContinuous" vertical="center"/>
    </xf>
    <xf numFmtId="0" fontId="42" fillId="24" borderId="14" xfId="108" applyFont="1" applyFill="1" applyBorder="1" applyAlignment="1">
      <alignment horizontal="left" vertical="center"/>
    </xf>
    <xf numFmtId="0" fontId="42" fillId="26" borderId="14" xfId="108" applyFont="1" applyFill="1" applyBorder="1" applyAlignment="1">
      <alignment horizontal="left" vertical="center"/>
    </xf>
    <xf numFmtId="4" fontId="74" fillId="24" borderId="0" xfId="200" applyNumberFormat="1" applyFont="1" applyFill="1" applyBorder="1"/>
    <xf numFmtId="4" fontId="56" fillId="0" borderId="0" xfId="63" applyNumberFormat="1" applyFont="1" applyBorder="1" applyAlignment="1">
      <alignment horizontal="left" vertical="center"/>
    </xf>
    <xf numFmtId="164" fontId="40" fillId="0" borderId="14" xfId="194" applyFont="1" applyFill="1" applyBorder="1" applyAlignment="1" applyProtection="1">
      <alignment horizontal="center" vertical="center" wrapText="1" readingOrder="1"/>
      <protection locked="0"/>
    </xf>
    <xf numFmtId="0" fontId="37" fillId="0" borderId="14" xfId="0" applyNumberFormat="1" applyFont="1" applyFill="1" applyBorder="1" applyAlignment="1">
      <alignment horizontal="center" vertical="center" wrapText="1" readingOrder="1"/>
    </xf>
    <xf numFmtId="0" fontId="37" fillId="0" borderId="27" xfId="0" applyNumberFormat="1" applyFont="1" applyFill="1" applyBorder="1" applyAlignment="1">
      <alignment vertical="center" wrapText="1" readingOrder="1"/>
    </xf>
    <xf numFmtId="0" fontId="37" fillId="0" borderId="15" xfId="0" applyNumberFormat="1" applyFont="1" applyFill="1" applyBorder="1" applyAlignment="1">
      <alignment vertical="center" wrapText="1" readingOrder="1"/>
    </xf>
    <xf numFmtId="0" fontId="75" fillId="0" borderId="0" xfId="70" applyFont="1"/>
    <xf numFmtId="0" fontId="76" fillId="0" borderId="0" xfId="70" applyFont="1" applyAlignment="1">
      <alignment horizontal="center" vertical="center"/>
    </xf>
    <xf numFmtId="49" fontId="55" fillId="0" borderId="14" xfId="0" applyNumberFormat="1" applyFont="1" applyFill="1" applyBorder="1" applyAlignment="1">
      <alignment horizontal="center" vertical="center" wrapText="1" readingOrder="1"/>
    </xf>
    <xf numFmtId="49" fontId="55" fillId="0" borderId="14" xfId="0" applyNumberFormat="1" applyFont="1" applyFill="1" applyBorder="1" applyAlignment="1">
      <alignment horizontal="left" vertical="center" wrapText="1" readingOrder="1"/>
    </xf>
    <xf numFmtId="0" fontId="55" fillId="0" borderId="14" xfId="0" applyNumberFormat="1" applyFont="1" applyFill="1" applyBorder="1" applyAlignment="1">
      <alignment horizontal="center" vertical="center" readingOrder="1"/>
    </xf>
    <xf numFmtId="4" fontId="55" fillId="0" borderId="14" xfId="0" applyNumberFormat="1" applyFont="1" applyFill="1" applyBorder="1" applyAlignment="1">
      <alignment horizontal="center" vertical="center" wrapText="1" readingOrder="1"/>
    </xf>
    <xf numFmtId="43" fontId="37" fillId="0" borderId="43" xfId="194" applyNumberFormat="1" applyFont="1" applyFill="1" applyBorder="1" applyAlignment="1">
      <alignment horizontal="right" vertical="center" wrapText="1" readingOrder="1"/>
    </xf>
    <xf numFmtId="0" fontId="55" fillId="0" borderId="23" xfId="0" applyNumberFormat="1" applyFont="1" applyFill="1" applyBorder="1" applyAlignment="1">
      <alignment vertical="center" wrapText="1" readingOrder="1"/>
    </xf>
    <xf numFmtId="49" fontId="55" fillId="0" borderId="23" xfId="0" applyNumberFormat="1" applyFont="1" applyFill="1" applyBorder="1" applyAlignment="1">
      <alignment horizontal="center" vertical="center" wrapText="1" readingOrder="1"/>
    </xf>
    <xf numFmtId="43" fontId="37" fillId="0" borderId="23" xfId="194" applyNumberFormat="1" applyFont="1" applyFill="1" applyBorder="1" applyAlignment="1">
      <alignment horizontal="center" vertical="center" wrapText="1" readingOrder="1"/>
    </xf>
    <xf numFmtId="4" fontId="55" fillId="0" borderId="23" xfId="0" applyNumberFormat="1" applyFont="1" applyFill="1" applyBorder="1" applyAlignment="1">
      <alignment horizontal="center" vertical="center" wrapText="1" readingOrder="1"/>
    </xf>
    <xf numFmtId="4" fontId="37" fillId="0" borderId="23" xfId="0" applyNumberFormat="1" applyFont="1" applyFill="1" applyBorder="1" applyAlignment="1">
      <alignment horizontal="center" vertical="center" wrapText="1" readingOrder="1"/>
    </xf>
    <xf numFmtId="43" fontId="37" fillId="0" borderId="39" xfId="194" applyNumberFormat="1" applyFont="1" applyFill="1" applyBorder="1" applyAlignment="1">
      <alignment horizontal="right" vertical="center" wrapText="1" readingOrder="1"/>
    </xf>
    <xf numFmtId="0" fontId="37" fillId="0" borderId="21" xfId="0" applyNumberFormat="1" applyFont="1" applyFill="1" applyBorder="1" applyAlignment="1">
      <alignment vertical="center" wrapText="1" readingOrder="1"/>
    </xf>
    <xf numFmtId="0" fontId="37" fillId="0" borderId="14" xfId="0" applyNumberFormat="1" applyFont="1" applyFill="1" applyBorder="1" applyAlignment="1">
      <alignment vertical="center" wrapText="1" readingOrder="1"/>
    </xf>
    <xf numFmtId="0" fontId="37" fillId="0" borderId="14" xfId="0" applyNumberFormat="1" applyFont="1" applyFill="1" applyBorder="1" applyAlignment="1">
      <alignment horizontal="center" vertical="center" wrapText="1" readingOrder="1"/>
    </xf>
    <xf numFmtId="4" fontId="82" fillId="0" borderId="0" xfId="0" applyFont="1" applyFill="1" applyBorder="1" applyAlignment="1">
      <alignment horizontal="center" vertical="center" readingOrder="1"/>
    </xf>
    <xf numFmtId="49" fontId="37" fillId="0" borderId="14" xfId="61" applyNumberFormat="1" applyFont="1" applyFill="1" applyBorder="1" applyAlignment="1">
      <alignment horizontal="center" vertical="center" wrapText="1" readingOrder="1"/>
    </xf>
    <xf numFmtId="0" fontId="37" fillId="0" borderId="14" xfId="0" applyNumberFormat="1" applyFont="1" applyFill="1" applyBorder="1" applyAlignment="1">
      <alignment horizontal="left" vertical="center" wrapText="1" readingOrder="1"/>
    </xf>
    <xf numFmtId="0" fontId="37" fillId="0" borderId="14" xfId="0" applyNumberFormat="1" applyFont="1" applyFill="1" applyBorder="1" applyAlignment="1">
      <alignment horizontal="center" vertical="center" wrapText="1" readingOrder="1"/>
    </xf>
    <xf numFmtId="0" fontId="37" fillId="0" borderId="27" xfId="0" applyNumberFormat="1" applyFont="1" applyFill="1" applyBorder="1" applyAlignment="1">
      <alignment vertical="center" wrapText="1" readingOrder="1"/>
    </xf>
    <xf numFmtId="0" fontId="37" fillId="0" borderId="15" xfId="0" applyNumberFormat="1" applyFont="1" applyFill="1" applyBorder="1" applyAlignment="1">
      <alignment vertical="center" wrapText="1" readingOrder="1"/>
    </xf>
    <xf numFmtId="0" fontId="37" fillId="0" borderId="26" xfId="0" applyNumberFormat="1" applyFont="1" applyFill="1" applyBorder="1" applyAlignment="1">
      <alignment vertical="center" wrapText="1" readingOrder="1"/>
    </xf>
    <xf numFmtId="0" fontId="37" fillId="0" borderId="42" xfId="0" applyNumberFormat="1" applyFont="1" applyFill="1" applyBorder="1" applyAlignment="1">
      <alignment vertical="center" wrapText="1" readingOrder="1"/>
    </xf>
    <xf numFmtId="0" fontId="37" fillId="0" borderId="43" xfId="0" applyNumberFormat="1" applyFont="1" applyFill="1" applyBorder="1" applyAlignment="1">
      <alignment vertical="center" wrapText="1" readingOrder="1"/>
    </xf>
    <xf numFmtId="0" fontId="37" fillId="0" borderId="14" xfId="0" applyNumberFormat="1" applyFont="1" applyFill="1" applyBorder="1" applyAlignment="1">
      <alignment horizontal="center" vertical="center" wrapText="1"/>
    </xf>
    <xf numFmtId="4" fontId="37" fillId="0" borderId="14" xfId="0" applyNumberFormat="1" applyFont="1" applyFill="1" applyBorder="1" applyAlignment="1">
      <alignment horizontal="center" vertical="center" readingOrder="1"/>
    </xf>
    <xf numFmtId="3" fontId="38" fillId="0" borderId="23" xfId="0" applyNumberFormat="1" applyFont="1" applyFill="1" applyBorder="1" applyAlignment="1">
      <alignment horizontal="center" vertical="center" wrapText="1" readingOrder="1"/>
    </xf>
    <xf numFmtId="49" fontId="38" fillId="0" borderId="23" xfId="0" applyNumberFormat="1" applyFont="1" applyFill="1" applyBorder="1" applyAlignment="1">
      <alignment horizontal="center" vertical="center" wrapText="1" readingOrder="1"/>
    </xf>
    <xf numFmtId="49" fontId="38" fillId="0" borderId="23" xfId="0" applyNumberFormat="1" applyFont="1" applyFill="1" applyBorder="1" applyAlignment="1">
      <alignment horizontal="left" vertical="center" wrapText="1" readingOrder="1"/>
    </xf>
    <xf numFmtId="49" fontId="37" fillId="0" borderId="23" xfId="0" applyNumberFormat="1" applyFont="1" applyFill="1" applyBorder="1" applyAlignment="1">
      <alignment horizontal="center" vertical="center" wrapText="1" readingOrder="1"/>
    </xf>
    <xf numFmtId="164" fontId="37" fillId="0" borderId="23" xfId="194" applyFont="1" applyFill="1" applyBorder="1" applyAlignment="1">
      <alignment horizontal="center" vertical="center" wrapText="1" readingOrder="1"/>
    </xf>
    <xf numFmtId="4" fontId="38" fillId="0" borderId="14" xfId="0" applyNumberFormat="1" applyFont="1" applyFill="1" applyBorder="1" applyAlignment="1">
      <alignment vertical="center" readingOrder="1"/>
    </xf>
    <xf numFmtId="3" fontId="38" fillId="0" borderId="14" xfId="0" applyNumberFormat="1" applyFont="1" applyFill="1" applyBorder="1" applyAlignment="1">
      <alignment horizontal="center" vertical="center" wrapText="1" readingOrder="1"/>
    </xf>
    <xf numFmtId="49" fontId="79" fillId="0" borderId="14" xfId="0" applyNumberFormat="1" applyFont="1" applyFill="1" applyBorder="1" applyAlignment="1">
      <alignment horizontal="center" vertical="center" wrapText="1" readingOrder="1"/>
    </xf>
    <xf numFmtId="164" fontId="37" fillId="0" borderId="14" xfId="194" applyFont="1" applyFill="1" applyBorder="1" applyAlignment="1">
      <alignment horizontal="center" vertical="center" wrapText="1" readingOrder="1"/>
    </xf>
    <xf numFmtId="4" fontId="38" fillId="0" borderId="43" xfId="0" applyNumberFormat="1" applyFont="1" applyFill="1" applyBorder="1" applyAlignment="1">
      <alignment vertical="center" readingOrder="1"/>
    </xf>
    <xf numFmtId="4" fontId="38" fillId="0" borderId="39" xfId="0" applyNumberFormat="1" applyFont="1" applyFill="1" applyBorder="1" applyAlignment="1">
      <alignment vertical="center" readingOrder="1"/>
    </xf>
    <xf numFmtId="49" fontId="38" fillId="0" borderId="14" xfId="0" applyNumberFormat="1" applyFont="1" applyFill="1" applyBorder="1" applyAlignment="1">
      <alignment horizontal="left" vertical="center" wrapText="1" readingOrder="1"/>
    </xf>
    <xf numFmtId="49" fontId="37" fillId="0" borderId="21" xfId="0" applyNumberFormat="1" applyFont="1" applyFill="1" applyBorder="1" applyAlignment="1">
      <alignment horizontal="center" vertical="center" wrapText="1" readingOrder="1"/>
    </xf>
    <xf numFmtId="43" fontId="37" fillId="0" borderId="21" xfId="194" applyNumberFormat="1" applyFont="1" applyFill="1" applyBorder="1" applyAlignment="1">
      <alignment horizontal="center" vertical="center" wrapText="1" readingOrder="1"/>
    </xf>
    <xf numFmtId="4" fontId="37" fillId="0" borderId="21" xfId="0" applyNumberFormat="1" applyFont="1" applyFill="1" applyBorder="1" applyAlignment="1">
      <alignment horizontal="center" vertical="center" wrapText="1" readingOrder="1"/>
    </xf>
    <xf numFmtId="4" fontId="38" fillId="0" borderId="14" xfId="61" applyFont="1" applyFill="1" applyBorder="1" applyAlignment="1">
      <alignment horizontal="center" vertical="center" wrapText="1" readingOrder="1"/>
    </xf>
    <xf numFmtId="0" fontId="35" fillId="0" borderId="0" xfId="61" applyNumberFormat="1" applyFont="1" applyFill="1" applyBorder="1" applyAlignment="1">
      <alignment vertical="center" readingOrder="1"/>
    </xf>
    <xf numFmtId="0" fontId="35" fillId="0" borderId="0" xfId="61" applyNumberFormat="1" applyFont="1" applyFill="1" applyBorder="1" applyAlignment="1">
      <alignment horizontal="center" vertical="center" readingOrder="1"/>
    </xf>
    <xf numFmtId="0" fontId="35" fillId="0" borderId="0" xfId="61" applyNumberFormat="1" applyFont="1" applyFill="1" applyBorder="1" applyAlignment="1">
      <alignment horizontal="center" vertical="center" wrapText="1" readingOrder="1"/>
    </xf>
    <xf numFmtId="0" fontId="35" fillId="0" borderId="36" xfId="61" applyNumberFormat="1" applyFont="1" applyFill="1" applyBorder="1" applyAlignment="1">
      <alignment vertical="center" readingOrder="1"/>
    </xf>
    <xf numFmtId="0" fontId="35" fillId="0" borderId="20" xfId="61" applyNumberFormat="1" applyFont="1" applyFill="1" applyBorder="1" applyAlignment="1">
      <alignment vertical="center" readingOrder="1"/>
    </xf>
    <xf numFmtId="0" fontId="35" fillId="0" borderId="20" xfId="61" applyNumberFormat="1" applyFont="1" applyFill="1" applyBorder="1" applyAlignment="1">
      <alignment horizontal="center" vertical="center" readingOrder="1"/>
    </xf>
    <xf numFmtId="0" fontId="35" fillId="0" borderId="20" xfId="61" applyNumberFormat="1" applyFont="1" applyFill="1" applyBorder="1" applyAlignment="1">
      <alignment horizontal="center" vertical="center" wrapText="1" readingOrder="1"/>
    </xf>
    <xf numFmtId="0" fontId="35" fillId="0" borderId="37" xfId="61" applyNumberFormat="1" applyFont="1" applyFill="1" applyBorder="1" applyAlignment="1">
      <alignment horizontal="center" vertical="center" readingOrder="1"/>
    </xf>
    <xf numFmtId="4" fontId="35" fillId="0" borderId="29" xfId="61" applyNumberFormat="1" applyFont="1" applyFill="1" applyBorder="1" applyAlignment="1">
      <alignment vertical="center" readingOrder="1"/>
    </xf>
    <xf numFmtId="0" fontId="35" fillId="0" borderId="38" xfId="61" applyNumberFormat="1" applyFont="1" applyFill="1" applyBorder="1" applyAlignment="1">
      <alignment horizontal="center" vertical="center" readingOrder="1"/>
    </xf>
    <xf numFmtId="0" fontId="37" fillId="0" borderId="0" xfId="61" applyNumberFormat="1" applyFont="1" applyFill="1" applyBorder="1" applyAlignment="1">
      <alignment vertical="center" readingOrder="1"/>
    </xf>
    <xf numFmtId="0" fontId="38" fillId="0" borderId="0" xfId="61" applyNumberFormat="1" applyFont="1" applyFill="1" applyBorder="1" applyAlignment="1">
      <alignment horizontal="center" vertical="center" wrapText="1" readingOrder="1"/>
    </xf>
    <xf numFmtId="0" fontId="37" fillId="0" borderId="0" xfId="61" applyNumberFormat="1" applyFont="1" applyFill="1" applyBorder="1" applyAlignment="1">
      <alignment horizontal="center" vertical="center" readingOrder="1"/>
    </xf>
    <xf numFmtId="0" fontId="37" fillId="0" borderId="38" xfId="61" applyNumberFormat="1" applyFont="1" applyFill="1" applyBorder="1" applyAlignment="1">
      <alignment horizontal="center" vertical="center" readingOrder="1"/>
    </xf>
    <xf numFmtId="0" fontId="35" fillId="0" borderId="0" xfId="61" applyNumberFormat="1" applyFont="1" applyFill="1" applyBorder="1" applyAlignment="1">
      <alignment vertical="center" wrapText="1" readingOrder="1"/>
    </xf>
    <xf numFmtId="0" fontId="40" fillId="0" borderId="14" xfId="61" applyNumberFormat="1" applyFont="1" applyFill="1" applyBorder="1" applyAlignment="1">
      <alignment horizontal="center" vertical="center" wrapText="1" readingOrder="1"/>
    </xf>
    <xf numFmtId="0" fontId="40" fillId="0" borderId="21" xfId="61" applyNumberFormat="1" applyFont="1" applyFill="1" applyBorder="1" applyAlignment="1">
      <alignment horizontal="center" vertical="center" wrapText="1" readingOrder="1"/>
    </xf>
    <xf numFmtId="0" fontId="37" fillId="0" borderId="14" xfId="61" applyNumberFormat="1" applyFont="1" applyFill="1" applyBorder="1" applyAlignment="1">
      <alignment horizontal="center" vertical="center" wrapText="1" readingOrder="1"/>
    </xf>
    <xf numFmtId="0" fontId="40" fillId="0" borderId="14" xfId="61" applyNumberFormat="1" applyFont="1" applyFill="1" applyBorder="1" applyAlignment="1">
      <alignment vertical="center" wrapText="1" readingOrder="1"/>
    </xf>
    <xf numFmtId="0" fontId="37" fillId="0" borderId="14" xfId="61" applyNumberFormat="1" applyFont="1" applyFill="1" applyBorder="1" applyAlignment="1">
      <alignment vertical="center" wrapText="1" readingOrder="1"/>
    </xf>
    <xf numFmtId="0" fontId="37" fillId="26" borderId="14" xfId="61" applyNumberFormat="1" applyFont="1" applyFill="1" applyBorder="1" applyAlignment="1">
      <alignment horizontal="center" vertical="center" wrapText="1" readingOrder="1"/>
    </xf>
    <xf numFmtId="172" fontId="37" fillId="0" borderId="14" xfId="61" applyNumberFormat="1" applyFont="1" applyFill="1" applyBorder="1" applyAlignment="1">
      <alignment horizontal="left" vertical="center" wrapText="1" readingOrder="1"/>
    </xf>
    <xf numFmtId="4" fontId="37" fillId="0" borderId="14" xfId="61" applyNumberFormat="1" applyFont="1" applyFill="1" applyBorder="1" applyAlignment="1">
      <alignment horizontal="center" vertical="center" wrapText="1" readingOrder="1"/>
    </xf>
    <xf numFmtId="4" fontId="37" fillId="26" borderId="14" xfId="194" applyNumberFormat="1" applyFont="1" applyFill="1" applyBorder="1" applyAlignment="1">
      <alignment horizontal="center" vertical="center" wrapText="1" readingOrder="1"/>
    </xf>
    <xf numFmtId="172" fontId="37" fillId="0" borderId="14" xfId="61" applyNumberFormat="1" applyFont="1" applyFill="1" applyBorder="1" applyAlignment="1">
      <alignment horizontal="center" vertical="center" wrapText="1" readingOrder="1"/>
    </xf>
    <xf numFmtId="2" fontId="37" fillId="0" borderId="14" xfId="61" applyNumberFormat="1" applyFont="1" applyFill="1" applyBorder="1" applyAlignment="1">
      <alignment horizontal="center" vertical="center" wrapText="1" readingOrder="1"/>
    </xf>
    <xf numFmtId="0" fontId="37" fillId="0" borderId="0" xfId="61" applyNumberFormat="1" applyFont="1" applyFill="1" applyBorder="1" applyAlignment="1">
      <alignment horizontal="center" vertical="center" wrapText="1" readingOrder="1"/>
    </xf>
    <xf numFmtId="4" fontId="35" fillId="0" borderId="0" xfId="61" applyNumberFormat="1" applyFont="1" applyFill="1" applyBorder="1" applyAlignment="1">
      <alignment horizontal="center" vertical="center" wrapText="1" readingOrder="1"/>
    </xf>
    <xf numFmtId="10" fontId="35" fillId="0" borderId="0" xfId="61" applyNumberFormat="1" applyFont="1" applyFill="1" applyBorder="1" applyAlignment="1">
      <alignment horizontal="center" vertical="center" readingOrder="1"/>
    </xf>
    <xf numFmtId="164" fontId="37" fillId="0" borderId="0" xfId="194" applyFont="1" applyFill="1" applyBorder="1" applyAlignment="1">
      <alignment horizontal="center" vertical="center" readingOrder="1"/>
    </xf>
    <xf numFmtId="4" fontId="37" fillId="0" borderId="0" xfId="0" applyNumberFormat="1" applyFont="1" applyFill="1" applyBorder="1" applyAlignment="1">
      <alignment vertical="center" readingOrder="1"/>
    </xf>
    <xf numFmtId="0" fontId="84" fillId="0" borderId="0" xfId="70" applyFont="1" applyBorder="1" applyAlignment="1">
      <alignment vertical="center"/>
    </xf>
    <xf numFmtId="0" fontId="84" fillId="0" borderId="0" xfId="70" applyFont="1" applyBorder="1" applyAlignment="1">
      <alignment horizontal="center" vertical="center"/>
    </xf>
    <xf numFmtId="0" fontId="84" fillId="0" borderId="0" xfId="70" applyFont="1"/>
    <xf numFmtId="169" fontId="37" fillId="0" borderId="0" xfId="0" applyNumberFormat="1" applyFont="1" applyFill="1" applyBorder="1" applyAlignment="1">
      <alignment vertical="center" readingOrder="1"/>
    </xf>
    <xf numFmtId="0" fontId="45" fillId="0" borderId="0" xfId="70" applyFont="1"/>
    <xf numFmtId="4" fontId="51" fillId="0" borderId="42" xfId="0" applyFont="1" applyFill="1" applyBorder="1" applyAlignment="1">
      <alignment horizontal="center" vertical="center" readingOrder="1"/>
    </xf>
    <xf numFmtId="4" fontId="46" fillId="0" borderId="14" xfId="0" applyFont="1" applyFill="1" applyBorder="1" applyAlignment="1">
      <alignment vertical="center" readingOrder="1"/>
    </xf>
    <xf numFmtId="4" fontId="46" fillId="0" borderId="14" xfId="0" applyFont="1" applyFill="1" applyBorder="1" applyAlignment="1">
      <alignment horizontal="center" vertical="center" readingOrder="1"/>
    </xf>
    <xf numFmtId="10" fontId="47" fillId="0" borderId="14" xfId="117" applyNumberFormat="1" applyFont="1" applyFill="1" applyBorder="1" applyAlignment="1">
      <alignment horizontal="center" vertical="center" readingOrder="1"/>
    </xf>
    <xf numFmtId="4" fontId="51" fillId="0" borderId="15" xfId="0" applyFont="1" applyFill="1" applyBorder="1" applyAlignment="1">
      <alignment horizontal="center" vertical="center" readingOrder="1"/>
    </xf>
    <xf numFmtId="0" fontId="7" fillId="24" borderId="56" xfId="70" applyFill="1" applyBorder="1" applyAlignment="1"/>
    <xf numFmtId="0" fontId="7" fillId="24" borderId="53" xfId="70" applyFill="1" applyBorder="1" applyAlignment="1"/>
    <xf numFmtId="0" fontId="7" fillId="24" borderId="53" xfId="70" applyFill="1" applyBorder="1" applyAlignment="1">
      <alignment wrapText="1"/>
    </xf>
    <xf numFmtId="0" fontId="7" fillId="24" borderId="54" xfId="70" applyFill="1" applyBorder="1" applyAlignment="1"/>
    <xf numFmtId="0" fontId="7" fillId="24" borderId="0" xfId="70" applyFill="1"/>
    <xf numFmtId="0" fontId="7" fillId="24" borderId="0" xfId="70" applyFill="1" applyAlignment="1">
      <alignment wrapText="1"/>
    </xf>
    <xf numFmtId="0" fontId="6" fillId="24" borderId="46" xfId="70" applyFont="1" applyFill="1" applyBorder="1" applyAlignment="1">
      <alignment vertical="center"/>
    </xf>
    <xf numFmtId="0" fontId="6" fillId="24" borderId="51" xfId="70" applyFont="1" applyFill="1" applyBorder="1" applyAlignment="1">
      <alignment horizontal="center" vertical="center"/>
    </xf>
    <xf numFmtId="0" fontId="6" fillId="24" borderId="40" xfId="70" applyFont="1" applyFill="1" applyBorder="1" applyAlignment="1">
      <alignment horizontal="center" vertical="center"/>
    </xf>
    <xf numFmtId="0" fontId="6" fillId="24" borderId="45" xfId="70" applyFont="1" applyFill="1" applyBorder="1" applyAlignment="1">
      <alignment horizontal="center" vertical="center"/>
    </xf>
    <xf numFmtId="0" fontId="6" fillId="24" borderId="40" xfId="70" applyFont="1" applyFill="1" applyBorder="1" applyAlignment="1">
      <alignment horizontal="center" vertical="center" wrapText="1"/>
    </xf>
    <xf numFmtId="0" fontId="6" fillId="24" borderId="41" xfId="70" applyFont="1" applyFill="1" applyBorder="1" applyAlignment="1">
      <alignment horizontal="center" vertical="center"/>
    </xf>
    <xf numFmtId="10" fontId="80" fillId="24" borderId="61" xfId="194" applyNumberFormat="1" applyFont="1" applyFill="1" applyBorder="1" applyAlignment="1">
      <alignment vertical="top" wrapText="1"/>
    </xf>
    <xf numFmtId="10" fontId="80" fillId="24" borderId="61" xfId="70" applyNumberFormat="1" applyFont="1" applyFill="1" applyBorder="1" applyAlignment="1">
      <alignment vertical="top" wrapText="1"/>
    </xf>
    <xf numFmtId="10" fontId="80" fillId="24" borderId="62" xfId="70" applyNumberFormat="1" applyFont="1" applyFill="1" applyBorder="1" applyAlignment="1">
      <alignment vertical="top" wrapText="1"/>
    </xf>
    <xf numFmtId="10" fontId="7" fillId="24" borderId="0" xfId="70" applyNumberFormat="1" applyFill="1"/>
    <xf numFmtId="4" fontId="7" fillId="24" borderId="0" xfId="70" applyNumberFormat="1" applyFill="1"/>
    <xf numFmtId="0" fontId="7" fillId="24" borderId="0" xfId="70" applyFill="1" applyBorder="1" applyAlignment="1">
      <alignment vertical="center"/>
    </xf>
    <xf numFmtId="0" fontId="7" fillId="24" borderId="0" xfId="70" applyFill="1" applyBorder="1" applyAlignment="1">
      <alignment vertical="center" wrapText="1"/>
    </xf>
    <xf numFmtId="0" fontId="6" fillId="24" borderId="30" xfId="70" applyFont="1" applyFill="1" applyBorder="1" applyAlignment="1">
      <alignment wrapText="1"/>
    </xf>
    <xf numFmtId="0" fontId="6" fillId="24" borderId="31" xfId="70" applyFont="1" applyFill="1" applyBorder="1" applyAlignment="1">
      <alignment wrapText="1"/>
    </xf>
    <xf numFmtId="0" fontId="6" fillId="24" borderId="50" xfId="70" applyFont="1" applyFill="1" applyBorder="1" applyAlignment="1">
      <alignment wrapText="1"/>
    </xf>
    <xf numFmtId="0" fontId="7" fillId="24" borderId="44" xfId="70" applyFill="1" applyBorder="1"/>
    <xf numFmtId="0" fontId="7" fillId="24" borderId="31" xfId="70" applyFill="1" applyBorder="1"/>
    <xf numFmtId="0" fontId="7" fillId="24" borderId="32" xfId="70" applyFill="1" applyBorder="1"/>
    <xf numFmtId="0" fontId="7" fillId="24" borderId="0" xfId="70" applyFont="1" applyFill="1"/>
    <xf numFmtId="0" fontId="6" fillId="24" borderId="33" xfId="70" applyFont="1" applyFill="1" applyBorder="1" applyAlignment="1">
      <alignment wrapText="1"/>
    </xf>
    <xf numFmtId="0" fontId="7" fillId="0" borderId="15" xfId="70" applyBorder="1" applyAlignment="1">
      <alignment vertical="center"/>
    </xf>
    <xf numFmtId="0" fontId="6" fillId="24" borderId="0" xfId="70" applyFont="1" applyFill="1" applyBorder="1" applyAlignment="1">
      <alignment wrapText="1"/>
    </xf>
    <xf numFmtId="0" fontId="7" fillId="0" borderId="38" xfId="70" applyBorder="1" applyAlignment="1">
      <alignment vertical="center"/>
    </xf>
    <xf numFmtId="0" fontId="6" fillId="24" borderId="29" xfId="70" applyFont="1" applyFill="1" applyBorder="1"/>
    <xf numFmtId="0" fontId="7" fillId="24" borderId="0" xfId="70" applyFill="1" applyBorder="1"/>
    <xf numFmtId="0" fontId="80" fillId="24" borderId="22" xfId="70" applyFont="1" applyFill="1" applyBorder="1"/>
    <xf numFmtId="0" fontId="6" fillId="24" borderId="33" xfId="70" applyFont="1" applyFill="1" applyBorder="1"/>
    <xf numFmtId="0" fontId="7" fillId="24" borderId="0" xfId="70" applyFill="1" applyBorder="1" applyAlignment="1">
      <alignment wrapText="1"/>
    </xf>
    <xf numFmtId="0" fontId="9" fillId="0" borderId="38" xfId="70" applyFont="1" applyBorder="1" applyAlignment="1">
      <alignment vertical="center"/>
    </xf>
    <xf numFmtId="0" fontId="7" fillId="24" borderId="29" xfId="70" applyFill="1" applyBorder="1"/>
    <xf numFmtId="0" fontId="7" fillId="24" borderId="22" xfId="70" applyFill="1" applyBorder="1"/>
    <xf numFmtId="0" fontId="7" fillId="24" borderId="33" xfId="70" applyFont="1" applyFill="1" applyBorder="1"/>
    <xf numFmtId="0" fontId="7" fillId="24" borderId="0" xfId="70" applyFont="1" applyFill="1" applyBorder="1"/>
    <xf numFmtId="0" fontId="7" fillId="24" borderId="38" xfId="70" applyFill="1" applyBorder="1"/>
    <xf numFmtId="0" fontId="31" fillId="24" borderId="33" xfId="70" applyFont="1" applyFill="1" applyBorder="1"/>
    <xf numFmtId="0" fontId="31" fillId="24" borderId="0" xfId="70" applyFont="1" applyFill="1" applyBorder="1" applyAlignment="1">
      <alignment wrapText="1"/>
    </xf>
    <xf numFmtId="0" fontId="6" fillId="24" borderId="0" xfId="70" applyFont="1" applyFill="1" applyBorder="1" applyAlignment="1">
      <alignment horizontal="right"/>
    </xf>
    <xf numFmtId="0" fontId="80" fillId="24" borderId="17" xfId="70" applyFont="1" applyFill="1" applyBorder="1"/>
    <xf numFmtId="0" fontId="80" fillId="24" borderId="13" xfId="70" applyFont="1" applyFill="1" applyBorder="1" applyAlignment="1">
      <alignment wrapText="1"/>
    </xf>
    <xf numFmtId="0" fontId="7" fillId="24" borderId="13" xfId="70" applyFill="1" applyBorder="1"/>
    <xf numFmtId="0" fontId="7" fillId="24" borderId="47" xfId="70" applyFill="1" applyBorder="1"/>
    <xf numFmtId="0" fontId="7" fillId="24" borderId="58" xfId="70" applyFill="1" applyBorder="1"/>
    <xf numFmtId="0" fontId="7" fillId="24" borderId="25" xfId="70" applyFill="1" applyBorder="1"/>
    <xf numFmtId="4" fontId="87" fillId="24" borderId="0" xfId="200" applyNumberFormat="1" applyFont="1" applyFill="1" applyBorder="1"/>
    <xf numFmtId="4" fontId="57" fillId="0" borderId="0" xfId="63" applyNumberFormat="1" applyFont="1" applyBorder="1" applyAlignment="1">
      <alignment horizontal="left" vertical="center"/>
    </xf>
    <xf numFmtId="0" fontId="7" fillId="24" borderId="20" xfId="70" applyFill="1" applyBorder="1"/>
    <xf numFmtId="49" fontId="80" fillId="24" borderId="61" xfId="70" applyNumberFormat="1" applyFont="1" applyFill="1" applyBorder="1" applyAlignment="1">
      <alignment horizontal="center" vertical="top" wrapText="1"/>
    </xf>
    <xf numFmtId="49" fontId="80" fillId="24" borderId="1" xfId="70" applyNumberFormat="1" applyFont="1" applyFill="1" applyBorder="1" applyAlignment="1">
      <alignment horizontal="center" vertical="top" wrapText="1"/>
    </xf>
    <xf numFmtId="173" fontId="80" fillId="24" borderId="1" xfId="70" applyNumberFormat="1" applyFont="1" applyFill="1" applyBorder="1" applyAlignment="1">
      <alignment vertical="top" wrapText="1"/>
    </xf>
    <xf numFmtId="173" fontId="80" fillId="24" borderId="69" xfId="70" applyNumberFormat="1" applyFont="1" applyFill="1" applyBorder="1" applyAlignment="1">
      <alignment vertical="top" wrapText="1"/>
    </xf>
    <xf numFmtId="49" fontId="80" fillId="24" borderId="71" xfId="70" applyNumberFormat="1" applyFont="1" applyFill="1" applyBorder="1" applyAlignment="1">
      <alignment horizontal="center" vertical="top" wrapText="1"/>
    </xf>
    <xf numFmtId="49" fontId="80" fillId="24" borderId="72" xfId="70" applyNumberFormat="1" applyFont="1" applyFill="1" applyBorder="1" applyAlignment="1">
      <alignment horizontal="center" vertical="top" wrapText="1"/>
    </xf>
    <xf numFmtId="10" fontId="80" fillId="24" borderId="72" xfId="70" applyNumberFormat="1" applyFont="1" applyFill="1" applyBorder="1" applyAlignment="1">
      <alignment vertical="top" wrapText="1"/>
    </xf>
    <xf numFmtId="49" fontId="80" fillId="24" borderId="73" xfId="70" applyNumberFormat="1" applyFont="1" applyFill="1" applyBorder="1" applyAlignment="1">
      <alignment horizontal="center" vertical="top" wrapText="1"/>
    </xf>
    <xf numFmtId="173" fontId="80" fillId="24" borderId="73" xfId="70" applyNumberFormat="1" applyFont="1" applyFill="1" applyBorder="1" applyAlignment="1">
      <alignment vertical="top" wrapText="1"/>
    </xf>
    <xf numFmtId="173" fontId="80" fillId="24" borderId="74" xfId="70" applyNumberFormat="1" applyFont="1" applyFill="1" applyBorder="1" applyAlignment="1">
      <alignment vertical="top" wrapText="1"/>
    </xf>
    <xf numFmtId="10" fontId="31" fillId="24" borderId="61" xfId="70" applyNumberFormat="1" applyFont="1" applyFill="1" applyBorder="1" applyAlignment="1">
      <alignment vertical="top" wrapText="1"/>
    </xf>
    <xf numFmtId="4" fontId="51" fillId="0" borderId="42" xfId="0" applyNumberFormat="1" applyFont="1" applyFill="1" applyBorder="1" applyAlignment="1">
      <alignment horizontal="center" vertical="center" wrapText="1" readingOrder="1"/>
    </xf>
    <xf numFmtId="4" fontId="37" fillId="0" borderId="14" xfId="0" applyFont="1" applyFill="1" applyBorder="1" applyAlignment="1">
      <alignment horizontal="center" vertical="center" readingOrder="1"/>
    </xf>
    <xf numFmtId="0" fontId="5" fillId="24" borderId="0" xfId="200" applyFont="1" applyFill="1" applyBorder="1" applyAlignment="1">
      <alignment horizontal="centerContinuous" vertical="center"/>
    </xf>
    <xf numFmtId="10" fontId="5" fillId="24" borderId="0" xfId="200" applyNumberFormat="1" applyFont="1" applyFill="1" applyBorder="1" applyAlignment="1">
      <alignment horizontal="centerContinuous" vertical="center"/>
    </xf>
    <xf numFmtId="167" fontId="42" fillId="24" borderId="0" xfId="107" applyNumberFormat="1" applyFont="1" applyFill="1" applyAlignment="1">
      <alignment horizontal="centerContinuous" vertical="center"/>
    </xf>
    <xf numFmtId="0" fontId="5" fillId="26" borderId="0" xfId="200" applyFont="1" applyFill="1" applyBorder="1" applyAlignment="1">
      <alignment horizontal="centerContinuous" vertical="center"/>
    </xf>
    <xf numFmtId="0" fontId="5" fillId="26" borderId="0" xfId="200" applyFont="1" applyFill="1" applyAlignment="1">
      <alignment horizontal="centerContinuous" vertical="center"/>
    </xf>
    <xf numFmtId="0" fontId="5" fillId="24" borderId="0" xfId="200" applyFont="1" applyFill="1" applyAlignment="1">
      <alignment horizontal="centerContinuous" vertical="center"/>
    </xf>
    <xf numFmtId="0" fontId="52" fillId="26" borderId="0" xfId="200" applyFont="1" applyFill="1" applyAlignment="1">
      <alignment horizontal="centerContinuous" vertical="center"/>
    </xf>
    <xf numFmtId="0" fontId="88" fillId="24" borderId="0" xfId="200" applyFont="1" applyFill="1" applyBorder="1" applyAlignment="1">
      <alignment horizontal="centerContinuous" vertical="center"/>
    </xf>
    <xf numFmtId="164" fontId="83" fillId="0" borderId="55" xfId="194" applyFont="1" applyBorder="1" applyAlignment="1">
      <alignment horizontal="center" vertical="center" wrapText="1"/>
    </xf>
    <xf numFmtId="0" fontId="37" fillId="0" borderId="14" xfId="0" applyNumberFormat="1" applyFont="1" applyFill="1" applyBorder="1" applyAlignment="1">
      <alignment horizontal="center" vertical="center" wrapText="1" readingOrder="1"/>
    </xf>
    <xf numFmtId="0" fontId="37" fillId="0" borderId="14" xfId="0" applyNumberFormat="1" applyFont="1" applyFill="1" applyBorder="1" applyAlignment="1">
      <alignment vertical="center" wrapText="1" readingOrder="1"/>
    </xf>
    <xf numFmtId="173" fontId="6" fillId="24" borderId="31" xfId="70" applyNumberFormat="1" applyFont="1" applyFill="1" applyBorder="1" applyAlignment="1">
      <alignment wrapText="1"/>
    </xf>
    <xf numFmtId="173" fontId="80" fillId="24" borderId="75" xfId="70" applyNumberFormat="1" applyFont="1" applyFill="1" applyBorder="1" applyAlignment="1">
      <alignment vertical="top" wrapText="1"/>
    </xf>
    <xf numFmtId="10" fontId="80" fillId="24" borderId="76" xfId="70" applyNumberFormat="1" applyFont="1" applyFill="1" applyBorder="1" applyAlignment="1">
      <alignment vertical="top" wrapText="1"/>
    </xf>
    <xf numFmtId="4" fontId="38" fillId="24" borderId="14" xfId="271" applyNumberFormat="1" applyFont="1" applyFill="1" applyBorder="1" applyAlignment="1">
      <alignment horizontal="center" vertical="center" wrapText="1"/>
    </xf>
    <xf numFmtId="10" fontId="37" fillId="24" borderId="14" xfId="271" applyNumberFormat="1" applyFont="1" applyFill="1" applyBorder="1" applyAlignment="1">
      <alignment horizontal="center" vertical="center"/>
    </xf>
    <xf numFmtId="0" fontId="7" fillId="24" borderId="0" xfId="271" applyNumberFormat="1" applyFont="1" applyFill="1"/>
    <xf numFmtId="0" fontId="35" fillId="0" borderId="0" xfId="271" applyNumberFormat="1" applyFont="1"/>
    <xf numFmtId="0" fontId="7" fillId="0" borderId="0" xfId="271" applyNumberFormat="1" applyBorder="1"/>
    <xf numFmtId="0" fontId="7" fillId="0" borderId="0" xfId="271" applyNumberFormat="1" applyBorder="1" applyAlignment="1">
      <alignment horizontal="center"/>
    </xf>
    <xf numFmtId="0" fontId="7" fillId="0" borderId="0" xfId="271" applyNumberFormat="1"/>
    <xf numFmtId="0" fontId="6" fillId="24" borderId="0" xfId="271" applyNumberFormat="1" applyFont="1" applyFill="1"/>
    <xf numFmtId="0" fontId="38" fillId="24" borderId="14" xfId="271" applyNumberFormat="1" applyFont="1" applyFill="1" applyBorder="1" applyAlignment="1" applyProtection="1">
      <alignment horizontal="center" vertical="center" wrapText="1"/>
    </xf>
    <xf numFmtId="0" fontId="6" fillId="0" borderId="0" xfId="271" applyNumberFormat="1" applyFont="1" applyBorder="1"/>
    <xf numFmtId="0" fontId="6" fillId="0" borderId="0" xfId="271" applyNumberFormat="1" applyFont="1" applyBorder="1" applyAlignment="1">
      <alignment horizontal="center"/>
    </xf>
    <xf numFmtId="0" fontId="6" fillId="0" borderId="0" xfId="271" applyNumberFormat="1" applyFont="1"/>
    <xf numFmtId="0" fontId="38" fillId="24" borderId="14" xfId="271" applyNumberFormat="1" applyFont="1" applyFill="1" applyBorder="1" applyAlignment="1" applyProtection="1">
      <alignment horizontal="center" vertical="center"/>
      <protection locked="0"/>
    </xf>
    <xf numFmtId="0" fontId="37" fillId="24" borderId="26" xfId="271" applyNumberFormat="1" applyFont="1" applyFill="1" applyBorder="1" applyAlignment="1">
      <alignment horizontal="center" vertical="center" wrapText="1" readingOrder="1"/>
    </xf>
    <xf numFmtId="2" fontId="37" fillId="24" borderId="26" xfId="271" applyNumberFormat="1" applyFont="1" applyFill="1" applyBorder="1" applyAlignment="1">
      <alignment horizontal="center" vertical="center" wrapText="1" readingOrder="1"/>
    </xf>
    <xf numFmtId="4" fontId="37" fillId="0" borderId="14" xfId="271" applyNumberFormat="1" applyFont="1" applyBorder="1" applyAlignment="1">
      <alignment horizontal="center" vertical="center"/>
    </xf>
    <xf numFmtId="10" fontId="38" fillId="24" borderId="14" xfId="203" applyNumberFormat="1" applyFont="1" applyFill="1" applyBorder="1" applyAlignment="1" applyProtection="1">
      <alignment horizontal="center" vertical="center"/>
      <protection locked="0"/>
    </xf>
    <xf numFmtId="10" fontId="41" fillId="0" borderId="0" xfId="271" applyNumberFormat="1" applyFont="1"/>
    <xf numFmtId="174" fontId="6" fillId="0" borderId="0" xfId="271" applyNumberFormat="1" applyFont="1" applyBorder="1"/>
    <xf numFmtId="4" fontId="38" fillId="30" borderId="14" xfId="271" applyNumberFormat="1" applyFont="1" applyFill="1" applyBorder="1" applyAlignment="1" applyProtection="1">
      <alignment horizontal="center" vertical="center"/>
    </xf>
    <xf numFmtId="10" fontId="38" fillId="30" borderId="14" xfId="271" applyNumberFormat="1" applyFont="1" applyFill="1" applyBorder="1" applyAlignment="1" applyProtection="1">
      <alignment horizontal="center" vertical="center"/>
    </xf>
    <xf numFmtId="174" fontId="7" fillId="0" borderId="0" xfId="271" applyNumberFormat="1" applyBorder="1"/>
    <xf numFmtId="43" fontId="7" fillId="0" borderId="0" xfId="271" applyNumberFormat="1" applyBorder="1"/>
    <xf numFmtId="0" fontId="35" fillId="24" borderId="0" xfId="271" applyNumberFormat="1" applyFont="1" applyFill="1"/>
    <xf numFmtId="0" fontId="35" fillId="24" borderId="0" xfId="203" applyNumberFormat="1" applyFont="1" applyFill="1"/>
    <xf numFmtId="4" fontId="89" fillId="24" borderId="0" xfId="271" applyNumberFormat="1" applyFont="1" applyFill="1" applyBorder="1" applyAlignment="1" applyProtection="1">
      <alignment horizontal="right" vertical="top"/>
      <protection locked="0"/>
    </xf>
    <xf numFmtId="0" fontId="7" fillId="0" borderId="0" xfId="203" applyNumberFormat="1" applyFont="1"/>
    <xf numFmtId="0" fontId="90" fillId="0" borderId="0" xfId="271" applyNumberFormat="1" applyFont="1" applyBorder="1" applyAlignment="1">
      <alignment horizontal="center"/>
    </xf>
    <xf numFmtId="43" fontId="7" fillId="0" borderId="0" xfId="203" applyNumberFormat="1" applyFont="1"/>
    <xf numFmtId="43" fontId="7" fillId="0" borderId="0" xfId="271" applyNumberFormat="1"/>
    <xf numFmtId="164" fontId="7" fillId="0" borderId="0" xfId="271" applyNumberFormat="1"/>
    <xf numFmtId="0" fontId="38" fillId="24" borderId="21" xfId="271" applyNumberFormat="1" applyFont="1" applyFill="1" applyBorder="1" applyAlignment="1">
      <alignment horizontal="center" vertical="center" wrapText="1"/>
    </xf>
    <xf numFmtId="164" fontId="35" fillId="24" borderId="0" xfId="194" applyFont="1" applyFill="1" applyAlignment="1">
      <alignment horizontal="center" vertical="center"/>
    </xf>
    <xf numFmtId="0" fontId="37" fillId="0" borderId="14" xfId="0" applyNumberFormat="1" applyFont="1" applyFill="1" applyBorder="1" applyAlignment="1">
      <alignment horizontal="center" vertical="center" wrapText="1" readingOrder="1"/>
    </xf>
    <xf numFmtId="164" fontId="37" fillId="0" borderId="15" xfId="194" applyFont="1" applyFill="1" applyBorder="1" applyAlignment="1">
      <alignment horizontal="center" vertical="center" readingOrder="1"/>
    </xf>
    <xf numFmtId="0" fontId="83" fillId="0" borderId="56" xfId="70" applyFont="1" applyBorder="1" applyAlignment="1">
      <alignment horizontal="right" vertical="center" wrapText="1" readingOrder="1"/>
    </xf>
    <xf numFmtId="0" fontId="83" fillId="0" borderId="53" xfId="70" applyFont="1" applyBorder="1" applyAlignment="1">
      <alignment horizontal="right" vertical="center" wrapText="1" readingOrder="1"/>
    </xf>
    <xf numFmtId="0" fontId="83" fillId="0" borderId="54" xfId="70" applyFont="1" applyBorder="1" applyAlignment="1">
      <alignment horizontal="right" vertical="center" wrapText="1" readingOrder="1"/>
    </xf>
    <xf numFmtId="4" fontId="40" fillId="0" borderId="30" xfId="0" applyFont="1" applyFill="1" applyBorder="1" applyAlignment="1">
      <alignment horizontal="center" vertical="center" readingOrder="1"/>
    </xf>
    <xf numFmtId="4" fontId="40" fillId="0" borderId="31" xfId="0" applyFont="1" applyFill="1" applyBorder="1" applyAlignment="1">
      <alignment horizontal="center" vertical="center" readingOrder="1"/>
    </xf>
    <xf numFmtId="4" fontId="40" fillId="0" borderId="32" xfId="0" applyFont="1" applyFill="1" applyBorder="1" applyAlignment="1">
      <alignment horizontal="center" vertical="center" readingOrder="1"/>
    </xf>
    <xf numFmtId="4" fontId="36" fillId="0" borderId="33" xfId="0" applyFont="1" applyFill="1" applyBorder="1" applyAlignment="1">
      <alignment horizontal="center" vertical="center" readingOrder="1"/>
    </xf>
    <xf numFmtId="4" fontId="36" fillId="0" borderId="0" xfId="0" applyFont="1" applyFill="1" applyBorder="1" applyAlignment="1">
      <alignment horizontal="center" vertical="center" readingOrder="1"/>
    </xf>
    <xf numFmtId="4" fontId="36" fillId="0" borderId="22" xfId="0" applyFont="1" applyFill="1" applyBorder="1" applyAlignment="1">
      <alignment horizontal="center" vertical="center" readingOrder="1"/>
    </xf>
    <xf numFmtId="4" fontId="36" fillId="0" borderId="17" xfId="0" applyFont="1" applyFill="1" applyBorder="1" applyAlignment="1">
      <alignment horizontal="center" vertical="center" readingOrder="1"/>
    </xf>
    <xf numFmtId="4" fontId="36" fillId="0" borderId="13" xfId="0" applyFont="1" applyFill="1" applyBorder="1" applyAlignment="1">
      <alignment horizontal="center" vertical="center" readingOrder="1"/>
    </xf>
    <xf numFmtId="4" fontId="36" fillId="0" borderId="25" xfId="0" applyFont="1" applyFill="1" applyBorder="1" applyAlignment="1">
      <alignment horizontal="center" vertical="center" readingOrder="1"/>
    </xf>
    <xf numFmtId="0" fontId="37" fillId="0" borderId="20" xfId="70" applyFont="1" applyBorder="1" applyAlignment="1">
      <alignment horizontal="center" vertical="center"/>
    </xf>
    <xf numFmtId="0" fontId="84" fillId="0" borderId="15" xfId="70" applyFont="1" applyBorder="1" applyAlignment="1">
      <alignment horizontal="center" vertical="center"/>
    </xf>
    <xf numFmtId="0" fontId="84" fillId="0" borderId="0" xfId="70" applyFont="1" applyBorder="1" applyAlignment="1">
      <alignment horizontal="center" vertical="center"/>
    </xf>
    <xf numFmtId="4" fontId="51" fillId="0" borderId="26" xfId="0" applyFont="1" applyFill="1" applyBorder="1" applyAlignment="1">
      <alignment horizontal="center" vertical="center" readingOrder="1"/>
    </xf>
    <xf numFmtId="4" fontId="51" fillId="0" borderId="42" xfId="0" applyFont="1" applyFill="1" applyBorder="1" applyAlignment="1">
      <alignment horizontal="center" vertical="center" readingOrder="1"/>
    </xf>
    <xf numFmtId="4" fontId="51" fillId="0" borderId="43" xfId="0" applyFont="1" applyFill="1" applyBorder="1" applyAlignment="1">
      <alignment horizontal="center" vertical="center" readingOrder="1"/>
    </xf>
    <xf numFmtId="0" fontId="85" fillId="0" borderId="36" xfId="70" applyFont="1" applyFill="1" applyBorder="1" applyAlignment="1">
      <alignment horizontal="center" vertical="center"/>
    </xf>
    <xf numFmtId="0" fontId="85" fillId="0" borderId="27" xfId="70" applyFont="1" applyFill="1" applyBorder="1" applyAlignment="1">
      <alignment horizontal="center" vertical="center"/>
    </xf>
    <xf numFmtId="0" fontId="85" fillId="0" borderId="37" xfId="70" applyFont="1" applyFill="1" applyBorder="1" applyAlignment="1">
      <alignment horizontal="left" vertical="center"/>
    </xf>
    <xf numFmtId="0" fontId="85" fillId="0" borderId="39" xfId="70" applyFont="1" applyFill="1" applyBorder="1" applyAlignment="1">
      <alignment horizontal="left" vertical="center"/>
    </xf>
    <xf numFmtId="0" fontId="46" fillId="0" borderId="26" xfId="0" applyNumberFormat="1" applyFont="1" applyFill="1" applyBorder="1" applyAlignment="1">
      <alignment horizontal="center" vertical="center"/>
    </xf>
    <xf numFmtId="0" fontId="46" fillId="0" borderId="42" xfId="0" applyNumberFormat="1" applyFont="1" applyFill="1" applyBorder="1" applyAlignment="1">
      <alignment horizontal="center" vertical="center"/>
    </xf>
    <xf numFmtId="0" fontId="46" fillId="0" borderId="59" xfId="0" applyNumberFormat="1" applyFont="1" applyFill="1" applyBorder="1" applyAlignment="1">
      <alignment horizontal="center" vertical="center"/>
    </xf>
    <xf numFmtId="4" fontId="46" fillId="0" borderId="14" xfId="0" applyFont="1" applyFill="1" applyBorder="1" applyAlignment="1">
      <alignment horizontal="center" vertical="center" readingOrder="1"/>
    </xf>
    <xf numFmtId="4" fontId="46" fillId="0" borderId="14" xfId="0" applyFont="1" applyFill="1" applyBorder="1" applyAlignment="1">
      <alignment horizontal="left" vertical="center" readingOrder="1"/>
    </xf>
    <xf numFmtId="4" fontId="46" fillId="0" borderId="26" xfId="0" applyFont="1" applyFill="1" applyBorder="1" applyAlignment="1">
      <alignment horizontal="left" vertical="center" readingOrder="1"/>
    </xf>
    <xf numFmtId="4" fontId="46" fillId="0" borderId="42" xfId="0" applyFont="1" applyFill="1" applyBorder="1" applyAlignment="1">
      <alignment horizontal="left" vertical="center" readingOrder="1"/>
    </xf>
    <xf numFmtId="4" fontId="46" fillId="0" borderId="43" xfId="0" applyFont="1" applyFill="1" applyBorder="1" applyAlignment="1">
      <alignment horizontal="left" vertical="center" readingOrder="1"/>
    </xf>
    <xf numFmtId="0" fontId="37" fillId="0" borderId="26" xfId="0" applyNumberFormat="1" applyFont="1" applyFill="1" applyBorder="1" applyAlignment="1">
      <alignment vertical="center" wrapText="1" readingOrder="1"/>
    </xf>
    <xf numFmtId="0" fontId="37" fillId="0" borderId="42" xfId="0" applyNumberFormat="1" applyFont="1" applyFill="1" applyBorder="1" applyAlignment="1">
      <alignment vertical="center" wrapText="1" readingOrder="1"/>
    </xf>
    <xf numFmtId="0" fontId="37" fillId="0" borderId="43" xfId="0" applyNumberFormat="1" applyFont="1" applyFill="1" applyBorder="1" applyAlignment="1">
      <alignment vertical="center" wrapText="1" readingOrder="1"/>
    </xf>
    <xf numFmtId="0" fontId="37" fillId="0" borderId="14" xfId="0" applyNumberFormat="1" applyFont="1" applyFill="1" applyBorder="1" applyAlignment="1">
      <alignment vertical="center" wrapText="1" readingOrder="1"/>
    </xf>
    <xf numFmtId="0" fontId="37" fillId="0" borderId="21" xfId="0" applyNumberFormat="1" applyFont="1" applyFill="1" applyBorder="1" applyAlignment="1">
      <alignment vertical="center" wrapText="1" readingOrder="1"/>
    </xf>
    <xf numFmtId="0" fontId="38" fillId="0" borderId="26" xfId="0" applyNumberFormat="1" applyFont="1" applyFill="1" applyBorder="1" applyAlignment="1">
      <alignment vertical="center" wrapText="1" readingOrder="1"/>
    </xf>
    <xf numFmtId="0" fontId="38" fillId="0" borderId="42" xfId="0" applyNumberFormat="1" applyFont="1" applyFill="1" applyBorder="1" applyAlignment="1">
      <alignment vertical="center" wrapText="1" readingOrder="1"/>
    </xf>
    <xf numFmtId="0" fontId="37" fillId="0" borderId="14" xfId="0" applyNumberFormat="1" applyFont="1" applyFill="1" applyBorder="1" applyAlignment="1">
      <alignment horizontal="center" vertical="center" wrapText="1" readingOrder="1"/>
    </xf>
    <xf numFmtId="0" fontId="38" fillId="0" borderId="27" xfId="0" applyNumberFormat="1" applyFont="1" applyFill="1" applyBorder="1" applyAlignment="1">
      <alignment vertical="center" wrapText="1" readingOrder="1"/>
    </xf>
    <xf numFmtId="0" fontId="38" fillId="0" borderId="15" xfId="0" applyNumberFormat="1" applyFont="1" applyFill="1" applyBorder="1" applyAlignment="1">
      <alignment vertical="center" wrapText="1" readingOrder="1"/>
    </xf>
    <xf numFmtId="0" fontId="37" fillId="0" borderId="36" xfId="0" applyNumberFormat="1" applyFont="1" applyFill="1" applyBorder="1" applyAlignment="1">
      <alignment vertical="center" wrapText="1" readingOrder="1"/>
    </xf>
    <xf numFmtId="0" fontId="37" fillId="0" borderId="20" xfId="0" applyNumberFormat="1" applyFont="1" applyFill="1" applyBorder="1" applyAlignment="1">
      <alignment vertical="center" wrapText="1" readingOrder="1"/>
    </xf>
    <xf numFmtId="0" fontId="37" fillId="0" borderId="37" xfId="0" applyNumberFormat="1" applyFont="1" applyFill="1" applyBorder="1" applyAlignment="1">
      <alignment vertical="center" wrapText="1" readingOrder="1"/>
    </xf>
    <xf numFmtId="0" fontId="37" fillId="0" borderId="29" xfId="0" applyNumberFormat="1" applyFont="1" applyFill="1" applyBorder="1" applyAlignment="1">
      <alignment horizontal="left" vertical="center" wrapText="1" readingOrder="1"/>
    </xf>
    <xf numFmtId="0" fontId="37" fillId="0" borderId="0" xfId="0" applyNumberFormat="1" applyFont="1" applyFill="1" applyBorder="1" applyAlignment="1">
      <alignment horizontal="left" vertical="center" wrapText="1" readingOrder="1"/>
    </xf>
    <xf numFmtId="0" fontId="37" fillId="0" borderId="38" xfId="0" applyNumberFormat="1" applyFont="1" applyFill="1" applyBorder="1" applyAlignment="1">
      <alignment horizontal="left" vertical="center" wrapText="1" readingOrder="1"/>
    </xf>
    <xf numFmtId="0" fontId="39" fillId="0" borderId="0" xfId="61" applyNumberFormat="1" applyFont="1" applyFill="1" applyBorder="1" applyAlignment="1">
      <alignment horizontal="left" vertical="center" wrapText="1" readingOrder="1"/>
    </xf>
    <xf numFmtId="4" fontId="37" fillId="0" borderId="29" xfId="0" applyNumberFormat="1" applyFont="1" applyFill="1" applyBorder="1" applyAlignment="1">
      <alignment horizontal="left" vertical="center" wrapText="1" readingOrder="1"/>
    </xf>
    <xf numFmtId="4" fontId="37" fillId="0" borderId="0" xfId="0" applyNumberFormat="1" applyFont="1" applyFill="1" applyBorder="1" applyAlignment="1">
      <alignment horizontal="left" vertical="center" wrapText="1" readingOrder="1"/>
    </xf>
    <xf numFmtId="4" fontId="37" fillId="0" borderId="38" xfId="0" applyNumberFormat="1" applyFont="1" applyFill="1" applyBorder="1" applyAlignment="1">
      <alignment horizontal="left" vertical="center" wrapText="1" readingOrder="1"/>
    </xf>
    <xf numFmtId="0" fontId="38" fillId="0" borderId="43" xfId="0" applyNumberFormat="1" applyFont="1" applyFill="1" applyBorder="1" applyAlignment="1">
      <alignment vertical="center" wrapText="1" readingOrder="1"/>
    </xf>
    <xf numFmtId="4" fontId="51" fillId="0" borderId="36" xfId="0" applyNumberFormat="1" applyFont="1" applyFill="1" applyBorder="1" applyAlignment="1">
      <alignment horizontal="center" vertical="center" wrapText="1" readingOrder="1"/>
    </xf>
    <xf numFmtId="4" fontId="51" fillId="0" borderId="20" xfId="0" applyNumberFormat="1" applyFont="1" applyFill="1" applyBorder="1" applyAlignment="1">
      <alignment horizontal="center" vertical="center" wrapText="1" readingOrder="1"/>
    </xf>
    <xf numFmtId="4" fontId="51" fillId="0" borderId="37" xfId="0" applyNumberFormat="1" applyFont="1" applyFill="1" applyBorder="1" applyAlignment="1">
      <alignment horizontal="center" vertical="center" wrapText="1" readingOrder="1"/>
    </xf>
    <xf numFmtId="0" fontId="37" fillId="0" borderId="27" xfId="0" applyNumberFormat="1" applyFont="1" applyFill="1" applyBorder="1" applyAlignment="1">
      <alignment vertical="center" wrapText="1" readingOrder="1"/>
    </xf>
    <xf numFmtId="0" fontId="37" fillId="0" borderId="15" xfId="0" applyNumberFormat="1" applyFont="1" applyFill="1" applyBorder="1" applyAlignment="1">
      <alignment vertical="center" wrapText="1" readingOrder="1"/>
    </xf>
    <xf numFmtId="0" fontId="37" fillId="0" borderId="39" xfId="0" applyNumberFormat="1" applyFont="1" applyFill="1" applyBorder="1" applyAlignment="1">
      <alignment vertical="center" wrapText="1" readingOrder="1"/>
    </xf>
    <xf numFmtId="0" fontId="37" fillId="0" borderId="36" xfId="0" applyNumberFormat="1" applyFont="1" applyFill="1" applyBorder="1" applyAlignment="1">
      <alignment horizontal="center" vertical="center" wrapText="1" readingOrder="1"/>
    </xf>
    <xf numFmtId="0" fontId="37" fillId="0" borderId="37" xfId="0" applyNumberFormat="1" applyFont="1" applyFill="1" applyBorder="1" applyAlignment="1">
      <alignment horizontal="center" vertical="center" wrapText="1" readingOrder="1"/>
    </xf>
    <xf numFmtId="0" fontId="37" fillId="0" borderId="24" xfId="0" applyNumberFormat="1" applyFont="1" applyFill="1" applyBorder="1" applyAlignment="1">
      <alignment vertical="center" wrapText="1" readingOrder="1"/>
    </xf>
    <xf numFmtId="0" fontId="40" fillId="0" borderId="14" xfId="0" applyNumberFormat="1" applyFont="1" applyFill="1" applyBorder="1" applyAlignment="1">
      <alignment horizontal="center" vertical="center" wrapText="1" readingOrder="1"/>
    </xf>
    <xf numFmtId="0" fontId="38" fillId="0" borderId="14" xfId="0" applyNumberFormat="1" applyFont="1" applyFill="1" applyBorder="1" applyAlignment="1">
      <alignment vertical="center" wrapText="1" readingOrder="1"/>
    </xf>
    <xf numFmtId="4" fontId="42" fillId="26" borderId="27" xfId="109" applyNumberFormat="1" applyFont="1" applyFill="1" applyBorder="1" applyAlignment="1">
      <alignment horizontal="center"/>
    </xf>
    <xf numFmtId="4" fontId="42" fillId="26" borderId="39" xfId="109" applyNumberFormat="1" applyFont="1" applyFill="1" applyBorder="1" applyAlignment="1">
      <alignment horizontal="center"/>
    </xf>
    <xf numFmtId="4" fontId="42" fillId="26" borderId="26" xfId="109" applyNumberFormat="1" applyFont="1" applyFill="1" applyBorder="1" applyAlignment="1">
      <alignment horizontal="center"/>
    </xf>
    <xf numFmtId="4" fontId="42" fillId="26" borderId="43" xfId="109" applyNumberFormat="1" applyFont="1" applyFill="1" applyBorder="1" applyAlignment="1">
      <alignment horizontal="center"/>
    </xf>
    <xf numFmtId="4" fontId="44" fillId="0" borderId="26" xfId="74" applyNumberFormat="1" applyFont="1" applyFill="1" applyBorder="1" applyAlignment="1">
      <alignment horizontal="center" vertical="center" wrapText="1"/>
    </xf>
    <xf numFmtId="4" fontId="44" fillId="0" borderId="43" xfId="74" applyNumberFormat="1" applyFont="1" applyFill="1" applyBorder="1" applyAlignment="1">
      <alignment horizontal="center" vertical="center" wrapText="1"/>
    </xf>
    <xf numFmtId="49" fontId="65" fillId="24" borderId="26" xfId="200" applyNumberFormat="1" applyFont="1" applyFill="1" applyBorder="1" applyAlignment="1">
      <alignment horizontal="center" vertical="center"/>
    </xf>
    <xf numFmtId="49" fontId="65" fillId="24" borderId="42" xfId="200" applyNumberFormat="1" applyFont="1" applyFill="1" applyBorder="1" applyAlignment="1">
      <alignment horizontal="center" vertical="center"/>
    </xf>
    <xf numFmtId="49" fontId="65" fillId="24" borderId="43" xfId="200" applyNumberFormat="1" applyFont="1" applyFill="1" applyBorder="1" applyAlignment="1">
      <alignment horizontal="center" vertical="center"/>
    </xf>
    <xf numFmtId="49" fontId="65" fillId="24" borderId="14" xfId="200" applyNumberFormat="1" applyFont="1" applyFill="1" applyBorder="1" applyAlignment="1">
      <alignment horizontal="center" vertical="center"/>
    </xf>
    <xf numFmtId="0" fontId="65" fillId="24" borderId="26" xfId="200" applyFont="1" applyFill="1" applyBorder="1" applyAlignment="1">
      <alignment horizontal="center" vertical="center"/>
    </xf>
    <xf numFmtId="0" fontId="65" fillId="24" borderId="42" xfId="200" applyFont="1" applyFill="1" applyBorder="1" applyAlignment="1">
      <alignment horizontal="center" vertical="center"/>
    </xf>
    <xf numFmtId="0" fontId="65" fillId="24" borderId="43" xfId="200" applyFont="1" applyFill="1" applyBorder="1" applyAlignment="1">
      <alignment horizontal="center" vertical="center"/>
    </xf>
    <xf numFmtId="164" fontId="44" fillId="26" borderId="21" xfId="107" applyNumberFormat="1" applyFont="1" applyFill="1" applyBorder="1" applyAlignment="1">
      <alignment horizontal="center" vertical="center" wrapText="1"/>
    </xf>
    <xf numFmtId="164" fontId="44" fillId="26" borderId="24" xfId="107" applyNumberFormat="1" applyFont="1" applyFill="1" applyBorder="1" applyAlignment="1">
      <alignment horizontal="center" vertical="center" wrapText="1"/>
    </xf>
    <xf numFmtId="164" fontId="44" fillId="26" borderId="23" xfId="107" applyNumberFormat="1" applyFont="1" applyFill="1" applyBorder="1" applyAlignment="1">
      <alignment horizontal="center" vertical="center" wrapText="1"/>
    </xf>
    <xf numFmtId="0" fontId="44" fillId="26" borderId="36" xfId="74" applyFont="1" applyFill="1" applyBorder="1" applyAlignment="1">
      <alignment horizontal="center" vertical="center" wrapText="1"/>
    </xf>
    <xf numFmtId="0" fontId="44" fillId="26" borderId="20" xfId="74" applyFont="1" applyFill="1" applyBorder="1" applyAlignment="1">
      <alignment horizontal="center" vertical="center" wrapText="1"/>
    </xf>
    <xf numFmtId="0" fontId="44" fillId="26" borderId="37" xfId="74" applyFont="1" applyFill="1" applyBorder="1" applyAlignment="1">
      <alignment horizontal="center" vertical="center" wrapText="1"/>
    </xf>
    <xf numFmtId="0" fontId="44" fillId="25" borderId="21" xfId="74" applyFont="1" applyFill="1" applyBorder="1" applyAlignment="1">
      <alignment horizontal="center" vertical="center" wrapText="1"/>
    </xf>
    <xf numFmtId="0" fontId="44" fillId="25" borderId="24" xfId="74" applyFont="1" applyFill="1" applyBorder="1" applyAlignment="1">
      <alignment horizontal="center" vertical="center" wrapText="1"/>
    </xf>
    <xf numFmtId="0" fontId="44" fillId="25" borderId="23" xfId="74" applyFont="1" applyFill="1" applyBorder="1" applyAlignment="1">
      <alignment horizontal="center" vertical="center" wrapText="1"/>
    </xf>
    <xf numFmtId="0" fontId="44" fillId="26" borderId="21" xfId="74" applyFont="1" applyFill="1" applyBorder="1" applyAlignment="1">
      <alignment horizontal="center" vertical="center" wrapText="1"/>
    </xf>
    <xf numFmtId="0" fontId="44" fillId="26" borderId="24" xfId="74" applyFont="1" applyFill="1" applyBorder="1" applyAlignment="1">
      <alignment horizontal="center" vertical="center" wrapText="1"/>
    </xf>
    <xf numFmtId="0" fontId="44" fillId="26" borderId="23" xfId="74" applyFont="1" applyFill="1" applyBorder="1" applyAlignment="1">
      <alignment horizontal="center" vertical="center" wrapText="1"/>
    </xf>
    <xf numFmtId="0" fontId="44" fillId="26" borderId="27" xfId="74" applyFont="1" applyFill="1" applyBorder="1" applyAlignment="1">
      <alignment horizontal="center" vertical="center" wrapText="1"/>
    </xf>
    <xf numFmtId="0" fontId="44" fillId="26" borderId="26" xfId="74" applyFont="1" applyFill="1" applyBorder="1" applyAlignment="1">
      <alignment horizontal="center" vertical="center" wrapText="1"/>
    </xf>
    <xf numFmtId="0" fontId="44" fillId="26" borderId="42" xfId="74" applyFont="1" applyFill="1" applyBorder="1" applyAlignment="1">
      <alignment horizontal="center" vertical="center" wrapText="1"/>
    </xf>
    <xf numFmtId="0" fontId="44" fillId="26" borderId="43" xfId="74" applyFont="1" applyFill="1" applyBorder="1" applyAlignment="1">
      <alignment horizontal="center" vertical="center" wrapText="1"/>
    </xf>
    <xf numFmtId="0" fontId="44" fillId="26" borderId="14" xfId="74" applyFont="1" applyFill="1" applyBorder="1" applyAlignment="1">
      <alignment horizontal="center" vertical="center" wrapText="1"/>
    </xf>
    <xf numFmtId="164" fontId="44" fillId="26" borderId="26" xfId="107" applyNumberFormat="1" applyFont="1" applyFill="1" applyBorder="1" applyAlignment="1">
      <alignment horizontal="center" vertical="center" wrapText="1"/>
    </xf>
    <xf numFmtId="164" fontId="44" fillId="26" borderId="42" xfId="107" applyNumberFormat="1" applyFont="1" applyFill="1" applyBorder="1" applyAlignment="1">
      <alignment horizontal="center" vertical="center" wrapText="1"/>
    </xf>
    <xf numFmtId="164" fontId="44" fillId="26" borderId="43" xfId="107" applyNumberFormat="1" applyFont="1" applyFill="1" applyBorder="1" applyAlignment="1">
      <alignment horizontal="center" vertical="center" wrapText="1"/>
    </xf>
    <xf numFmtId="0" fontId="63" fillId="24" borderId="0" xfId="200" applyFont="1" applyFill="1" applyAlignment="1">
      <alignment horizontal="center" vertical="center"/>
    </xf>
    <xf numFmtId="0" fontId="42" fillId="24" borderId="0" xfId="74" applyFont="1" applyFill="1" applyBorder="1" applyAlignment="1">
      <alignment horizontal="left"/>
    </xf>
    <xf numFmtId="0" fontId="42" fillId="24" borderId="0" xfId="74" applyFont="1" applyFill="1" applyBorder="1" applyAlignment="1">
      <alignment horizontal="center"/>
    </xf>
    <xf numFmtId="0" fontId="44" fillId="24" borderId="0" xfId="74" applyFont="1" applyFill="1" applyBorder="1" applyAlignment="1">
      <alignment horizontal="center" vertical="center"/>
    </xf>
    <xf numFmtId="0" fontId="44" fillId="24" borderId="15" xfId="74" applyFont="1" applyFill="1" applyBorder="1" applyAlignment="1">
      <alignment horizontal="center" vertical="center"/>
    </xf>
    <xf numFmtId="0" fontId="5" fillId="28" borderId="14" xfId="200" applyFont="1" applyFill="1" applyBorder="1" applyAlignment="1">
      <alignment horizontal="center"/>
    </xf>
    <xf numFmtId="0" fontId="5" fillId="28" borderId="21" xfId="200" applyFont="1" applyFill="1" applyBorder="1" applyAlignment="1">
      <alignment horizontal="center" vertical="center"/>
    </xf>
    <xf numFmtId="0" fontId="5" fillId="28" borderId="23" xfId="200" applyFont="1" applyFill="1" applyBorder="1" applyAlignment="1">
      <alignment horizontal="center" vertical="center"/>
    </xf>
    <xf numFmtId="10" fontId="44" fillId="25" borderId="21" xfId="74" applyNumberFormat="1" applyFont="1" applyFill="1" applyBorder="1" applyAlignment="1">
      <alignment horizontal="center" vertical="center" wrapText="1"/>
    </xf>
    <xf numFmtId="10" fontId="4" fillId="0" borderId="24" xfId="200" applyNumberFormat="1" applyBorder="1"/>
    <xf numFmtId="10" fontId="4" fillId="0" borderId="23" xfId="200" applyNumberFormat="1" applyBorder="1"/>
    <xf numFmtId="0" fontId="4" fillId="0" borderId="24" xfId="200" applyBorder="1"/>
    <xf numFmtId="0" fontId="4" fillId="0" borderId="23" xfId="200" applyBorder="1"/>
    <xf numFmtId="0" fontId="44" fillId="26" borderId="26" xfId="74" applyFont="1" applyFill="1" applyBorder="1" applyAlignment="1">
      <alignment horizontal="center" vertical="center"/>
    </xf>
    <xf numFmtId="0" fontId="44" fillId="26" borderId="42" xfId="74" applyFont="1" applyFill="1" applyBorder="1" applyAlignment="1">
      <alignment horizontal="center" vertical="center"/>
    </xf>
    <xf numFmtId="0" fontId="44" fillId="25" borderId="21" xfId="74" applyFont="1" applyFill="1" applyBorder="1" applyAlignment="1">
      <alignment horizontal="center" vertical="center"/>
    </xf>
    <xf numFmtId="0" fontId="44" fillId="25" borderId="24" xfId="74" applyFont="1" applyFill="1" applyBorder="1" applyAlignment="1">
      <alignment horizontal="center" vertical="center"/>
    </xf>
    <xf numFmtId="0" fontId="44" fillId="25" borderId="23" xfId="74" applyFont="1" applyFill="1" applyBorder="1" applyAlignment="1">
      <alignment horizontal="center" vertical="center"/>
    </xf>
    <xf numFmtId="0" fontId="44" fillId="0" borderId="36" xfId="74" applyFont="1" applyFill="1" applyBorder="1" applyAlignment="1">
      <alignment horizontal="center" vertical="center" wrapText="1"/>
    </xf>
    <xf numFmtId="0" fontId="44" fillId="0" borderId="29" xfId="74" applyFont="1" applyFill="1" applyBorder="1" applyAlignment="1">
      <alignment horizontal="center" vertical="center" wrapText="1"/>
    </xf>
    <xf numFmtId="0" fontId="44" fillId="0" borderId="15" xfId="74" applyFont="1" applyFill="1" applyBorder="1" applyAlignment="1">
      <alignment horizontal="center" vertical="center" wrapText="1"/>
    </xf>
    <xf numFmtId="0" fontId="44" fillId="0" borderId="27" xfId="74" applyFont="1" applyFill="1" applyBorder="1" applyAlignment="1">
      <alignment horizontal="center" vertical="center" wrapText="1"/>
    </xf>
    <xf numFmtId="0" fontId="44" fillId="0" borderId="21" xfId="74" applyFont="1" applyFill="1" applyBorder="1" applyAlignment="1">
      <alignment horizontal="center" vertical="center" wrapText="1"/>
    </xf>
    <xf numFmtId="0" fontId="44" fillId="0" borderId="24" xfId="74" applyFont="1" applyFill="1" applyBorder="1" applyAlignment="1">
      <alignment horizontal="center" vertical="center" wrapText="1"/>
    </xf>
    <xf numFmtId="0" fontId="44" fillId="0" borderId="23" xfId="74" applyFont="1" applyFill="1" applyBorder="1" applyAlignment="1">
      <alignment horizontal="center" vertical="center" wrapText="1"/>
    </xf>
    <xf numFmtId="0" fontId="44" fillId="26" borderId="15" xfId="74" applyFont="1" applyFill="1" applyBorder="1" applyAlignment="1">
      <alignment horizontal="center" vertical="center" wrapText="1"/>
    </xf>
    <xf numFmtId="0" fontId="44" fillId="26" borderId="39" xfId="74" applyFont="1" applyFill="1" applyBorder="1" applyAlignment="1">
      <alignment horizontal="center" vertical="center" wrapText="1"/>
    </xf>
    <xf numFmtId="0" fontId="57" fillId="27" borderId="14" xfId="63" applyFont="1" applyFill="1" applyBorder="1" applyAlignment="1">
      <alignment horizontal="center" vertical="center"/>
    </xf>
    <xf numFmtId="0" fontId="57" fillId="27" borderId="26" xfId="63" applyFont="1" applyFill="1" applyBorder="1" applyAlignment="1">
      <alignment horizontal="center" vertical="center" wrapText="1"/>
    </xf>
    <xf numFmtId="0" fontId="57" fillId="27" borderId="42" xfId="63" applyFont="1" applyFill="1" applyBorder="1" applyAlignment="1">
      <alignment horizontal="center" vertical="center" wrapText="1"/>
    </xf>
    <xf numFmtId="0" fontId="57" fillId="27" borderId="43" xfId="63" applyFont="1" applyFill="1" applyBorder="1" applyAlignment="1">
      <alignment horizontal="center" vertical="center" wrapText="1"/>
    </xf>
    <xf numFmtId="0" fontId="57" fillId="27" borderId="26" xfId="63" applyFont="1" applyFill="1" applyBorder="1" applyAlignment="1">
      <alignment horizontal="center" vertical="center"/>
    </xf>
    <xf numFmtId="0" fontId="57" fillId="27" borderId="42" xfId="63" applyFont="1" applyFill="1" applyBorder="1" applyAlignment="1">
      <alignment horizontal="center" vertical="center"/>
    </xf>
    <xf numFmtId="0" fontId="57" fillId="27" borderId="43" xfId="63" applyFont="1" applyFill="1" applyBorder="1" applyAlignment="1">
      <alignment horizontal="center" vertical="center"/>
    </xf>
    <xf numFmtId="0" fontId="57" fillId="27" borderId="21" xfId="63" applyFont="1" applyFill="1" applyBorder="1" applyAlignment="1">
      <alignment horizontal="center" vertical="center" wrapText="1"/>
    </xf>
    <xf numFmtId="0" fontId="57" fillId="27" borderId="23" xfId="63" applyFont="1" applyFill="1" applyBorder="1" applyAlignment="1">
      <alignment horizontal="center" vertical="center" wrapText="1"/>
    </xf>
    <xf numFmtId="0" fontId="6" fillId="0" borderId="42" xfId="108" applyFont="1" applyFill="1" applyBorder="1" applyAlignment="1">
      <alignment horizontal="center" vertical="center"/>
    </xf>
    <xf numFmtId="0" fontId="6" fillId="0" borderId="43" xfId="108" applyFont="1" applyFill="1" applyBorder="1" applyAlignment="1">
      <alignment horizontal="center" vertical="center"/>
    </xf>
    <xf numFmtId="0" fontId="7" fillId="26" borderId="0" xfId="63" applyFont="1" applyFill="1" applyBorder="1" applyAlignment="1">
      <alignment horizontal="center"/>
    </xf>
    <xf numFmtId="0" fontId="86" fillId="24" borderId="18" xfId="70" applyFont="1" applyFill="1" applyBorder="1" applyAlignment="1">
      <alignment horizontal="center" vertical="center"/>
    </xf>
    <xf numFmtId="0" fontId="86" fillId="24" borderId="19" xfId="70" applyFont="1" applyFill="1" applyBorder="1" applyAlignment="1">
      <alignment horizontal="center" vertical="center"/>
    </xf>
    <xf numFmtId="0" fontId="86" fillId="24" borderId="16" xfId="70" applyFont="1" applyFill="1" applyBorder="1" applyAlignment="1">
      <alignment horizontal="center" vertical="center"/>
    </xf>
    <xf numFmtId="4" fontId="6" fillId="24" borderId="34" xfId="70" applyNumberFormat="1" applyFont="1" applyFill="1" applyBorder="1" applyAlignment="1">
      <alignment horizontal="left" vertical="center"/>
    </xf>
    <xf numFmtId="0" fontId="6" fillId="24" borderId="15" xfId="70" applyFont="1" applyFill="1" applyBorder="1" applyAlignment="1">
      <alignment horizontal="left" vertical="center"/>
    </xf>
    <xf numFmtId="0" fontId="6" fillId="24" borderId="39" xfId="70" applyFont="1" applyFill="1" applyBorder="1" applyAlignment="1">
      <alignment horizontal="left" vertical="center"/>
    </xf>
    <xf numFmtId="0" fontId="6" fillId="24" borderId="45" xfId="70" applyFont="1" applyFill="1" applyBorder="1" applyAlignment="1">
      <alignment horizontal="left" vertical="center"/>
    </xf>
    <xf numFmtId="0" fontId="6" fillId="24" borderId="60" xfId="70" applyFont="1" applyFill="1" applyBorder="1" applyAlignment="1">
      <alignment horizontal="left" vertical="center"/>
    </xf>
    <xf numFmtId="173" fontId="6" fillId="24" borderId="60" xfId="70" applyNumberFormat="1" applyFont="1" applyFill="1" applyBorder="1" applyAlignment="1">
      <alignment horizontal="center" vertical="center"/>
    </xf>
    <xf numFmtId="4" fontId="6" fillId="24" borderId="23" xfId="70" applyNumberFormat="1" applyFont="1" applyFill="1" applyBorder="1" applyAlignment="1">
      <alignment horizontal="left" vertical="center"/>
    </xf>
    <xf numFmtId="0" fontId="6" fillId="24" borderId="23" xfId="70" applyFont="1" applyFill="1" applyBorder="1" applyAlignment="1">
      <alignment horizontal="left" vertical="center"/>
    </xf>
    <xf numFmtId="0" fontId="6" fillId="24" borderId="65" xfId="70" applyFont="1" applyFill="1" applyBorder="1" applyAlignment="1">
      <alignment horizontal="left" vertical="center"/>
    </xf>
    <xf numFmtId="4" fontId="6" fillId="24" borderId="48" xfId="70" applyNumberFormat="1" applyFont="1" applyFill="1" applyBorder="1" applyAlignment="1">
      <alignment horizontal="left" vertical="center"/>
    </xf>
    <xf numFmtId="0" fontId="6" fillId="24" borderId="52" xfId="70" applyFont="1" applyFill="1" applyBorder="1" applyAlignment="1">
      <alignment horizontal="left" vertical="center"/>
    </xf>
    <xf numFmtId="0" fontId="6" fillId="24" borderId="49" xfId="70" applyFont="1" applyFill="1" applyBorder="1" applyAlignment="1">
      <alignment horizontal="left" vertical="center"/>
    </xf>
    <xf numFmtId="4" fontId="6" fillId="24" borderId="52" xfId="70" applyNumberFormat="1" applyFont="1" applyFill="1" applyBorder="1" applyAlignment="1">
      <alignment horizontal="left" vertical="center"/>
    </xf>
    <xf numFmtId="4" fontId="6" fillId="24" borderId="28" xfId="70" applyNumberFormat="1" applyFont="1" applyFill="1" applyBorder="1" applyAlignment="1">
      <alignment horizontal="left" vertical="center"/>
    </xf>
    <xf numFmtId="0" fontId="6" fillId="24" borderId="57" xfId="70" applyFont="1" applyFill="1" applyBorder="1" applyAlignment="1">
      <alignment horizontal="left" vertical="center"/>
    </xf>
    <xf numFmtId="0" fontId="31" fillId="0" borderId="66" xfId="70" applyFont="1" applyBorder="1" applyAlignment="1">
      <alignment horizontal="center" vertical="center" wrapText="1"/>
    </xf>
    <xf numFmtId="0" fontId="31" fillId="0" borderId="63" xfId="70" applyFont="1" applyBorder="1" applyAlignment="1">
      <alignment horizontal="center" vertical="center" wrapText="1"/>
    </xf>
    <xf numFmtId="49" fontId="31" fillId="0" borderId="67" xfId="70" applyNumberFormat="1" applyFont="1" applyBorder="1" applyAlignment="1">
      <alignment horizontal="center" vertical="center" wrapText="1"/>
    </xf>
    <xf numFmtId="49" fontId="31" fillId="0" borderId="1" xfId="70" applyNumberFormat="1" applyFont="1" applyBorder="1" applyAlignment="1">
      <alignment horizontal="center" vertical="center" wrapText="1"/>
    </xf>
    <xf numFmtId="0" fontId="31" fillId="0" borderId="68" xfId="70" applyFont="1" applyBorder="1" applyAlignment="1">
      <alignment horizontal="left" vertical="center" wrapText="1"/>
    </xf>
    <xf numFmtId="0" fontId="31" fillId="0" borderId="64" xfId="70" applyFont="1" applyBorder="1" applyAlignment="1">
      <alignment horizontal="left" vertical="center" wrapText="1"/>
    </xf>
    <xf numFmtId="49" fontId="31" fillId="0" borderId="1" xfId="70" applyNumberFormat="1" applyFont="1" applyBorder="1" applyAlignment="1">
      <alignment horizontal="left" vertical="center" wrapText="1"/>
    </xf>
    <xf numFmtId="0" fontId="7" fillId="24" borderId="63" xfId="70" applyFont="1" applyFill="1" applyBorder="1" applyAlignment="1">
      <alignment vertical="top" wrapText="1"/>
    </xf>
    <xf numFmtId="0" fontId="7" fillId="24" borderId="1" xfId="70" applyFont="1" applyFill="1" applyBorder="1" applyAlignment="1">
      <alignment vertical="top" wrapText="1"/>
    </xf>
    <xf numFmtId="49" fontId="80" fillId="24" borderId="63" xfId="70" applyNumberFormat="1" applyFont="1" applyFill="1" applyBorder="1" applyAlignment="1">
      <alignment vertical="top" wrapText="1"/>
    </xf>
    <xf numFmtId="49" fontId="80" fillId="24" borderId="1" xfId="70" applyNumberFormat="1" applyFont="1" applyFill="1" applyBorder="1" applyAlignment="1">
      <alignment vertical="top" wrapText="1"/>
    </xf>
    <xf numFmtId="0" fontId="7" fillId="24" borderId="70" xfId="70" applyFont="1" applyFill="1" applyBorder="1" applyAlignment="1">
      <alignment vertical="top" wrapText="1"/>
    </xf>
    <xf numFmtId="0" fontId="7" fillId="24" borderId="71" xfId="70" applyFont="1" applyFill="1" applyBorder="1" applyAlignment="1">
      <alignment vertical="top" wrapText="1"/>
    </xf>
    <xf numFmtId="0" fontId="7" fillId="24" borderId="35" xfId="70" applyFont="1" applyFill="1" applyBorder="1" applyAlignment="1">
      <alignment horizontal="center" vertical="center" wrapText="1"/>
    </xf>
    <xf numFmtId="0" fontId="7" fillId="24" borderId="20" xfId="70" applyFont="1" applyFill="1" applyBorder="1" applyAlignment="1">
      <alignment horizontal="center" vertical="center" wrapText="1"/>
    </xf>
    <xf numFmtId="0" fontId="7" fillId="24" borderId="37" xfId="70" applyFont="1" applyFill="1" applyBorder="1" applyAlignment="1">
      <alignment horizontal="center" vertical="center" wrapText="1"/>
    </xf>
    <xf numFmtId="0" fontId="7" fillId="24" borderId="17" xfId="70" applyFont="1" applyFill="1" applyBorder="1" applyAlignment="1">
      <alignment horizontal="center" vertical="center" wrapText="1"/>
    </xf>
    <xf numFmtId="0" fontId="7" fillId="24" borderId="13" xfId="70" applyFont="1" applyFill="1" applyBorder="1" applyAlignment="1">
      <alignment horizontal="center" vertical="center" wrapText="1"/>
    </xf>
    <xf numFmtId="0" fontId="7" fillId="24" borderId="47" xfId="70" applyFont="1" applyFill="1" applyBorder="1" applyAlignment="1">
      <alignment horizontal="center" vertical="center" wrapText="1"/>
    </xf>
    <xf numFmtId="0" fontId="9" fillId="0" borderId="20" xfId="70" applyFont="1" applyBorder="1" applyAlignment="1">
      <alignment horizontal="center" vertical="center"/>
    </xf>
    <xf numFmtId="164" fontId="7" fillId="24" borderId="21" xfId="194" applyFill="1" applyBorder="1" applyAlignment="1">
      <alignment horizontal="center" vertical="center"/>
    </xf>
    <xf numFmtId="164" fontId="7" fillId="24" borderId="23" xfId="194" applyFill="1" applyBorder="1" applyAlignment="1">
      <alignment horizontal="center" vertical="center"/>
    </xf>
    <xf numFmtId="0" fontId="7" fillId="0" borderId="15" xfId="70" applyBorder="1" applyAlignment="1">
      <alignment horizontal="center" vertical="center"/>
    </xf>
    <xf numFmtId="0" fontId="9" fillId="0" borderId="52" xfId="70" applyFont="1" applyBorder="1" applyAlignment="1">
      <alignment horizontal="center" vertical="center"/>
    </xf>
    <xf numFmtId="0" fontId="9" fillId="0" borderId="0" xfId="70" applyFont="1" applyBorder="1" applyAlignment="1">
      <alignment horizontal="center" vertical="center"/>
    </xf>
    <xf numFmtId="0" fontId="31" fillId="24" borderId="15" xfId="70" applyFont="1" applyFill="1" applyBorder="1" applyAlignment="1">
      <alignment horizontal="center" wrapText="1"/>
    </xf>
    <xf numFmtId="0" fontId="78" fillId="0" borderId="26" xfId="70" applyFont="1" applyFill="1" applyBorder="1" applyAlignment="1">
      <alignment horizontal="center" vertical="center"/>
    </xf>
    <xf numFmtId="0" fontId="78" fillId="0" borderId="42" xfId="70" applyFont="1" applyFill="1" applyBorder="1" applyAlignment="1">
      <alignment horizontal="center" vertical="center"/>
    </xf>
    <xf numFmtId="0" fontId="78" fillId="0" borderId="43" xfId="70" applyFont="1" applyFill="1" applyBorder="1" applyAlignment="1">
      <alignment horizontal="center" vertical="center"/>
    </xf>
    <xf numFmtId="4" fontId="77" fillId="0" borderId="26" xfId="70" applyNumberFormat="1" applyFont="1" applyFill="1" applyBorder="1" applyAlignment="1">
      <alignment horizontal="left" vertical="center"/>
    </xf>
    <xf numFmtId="0" fontId="77" fillId="0" borderId="42" xfId="70" applyFont="1" applyFill="1" applyBorder="1" applyAlignment="1">
      <alignment horizontal="left" vertical="center"/>
    </xf>
    <xf numFmtId="0" fontId="77" fillId="0" borderId="43" xfId="70" applyFont="1" applyFill="1" applyBorder="1" applyAlignment="1">
      <alignment horizontal="left" vertical="center"/>
    </xf>
    <xf numFmtId="172" fontId="37" fillId="0" borderId="26" xfId="61" applyNumberFormat="1" applyFont="1" applyFill="1" applyBorder="1" applyAlignment="1">
      <alignment horizontal="right" vertical="center" wrapText="1" readingOrder="1"/>
    </xf>
    <xf numFmtId="172" fontId="37" fillId="0" borderId="42" xfId="61" applyNumberFormat="1" applyFont="1" applyFill="1" applyBorder="1" applyAlignment="1">
      <alignment horizontal="right" vertical="center" wrapText="1" readingOrder="1"/>
    </xf>
    <xf numFmtId="172" fontId="37" fillId="0" borderId="43" xfId="61" applyNumberFormat="1" applyFont="1" applyFill="1" applyBorder="1" applyAlignment="1">
      <alignment horizontal="right" vertical="center" wrapText="1" readingOrder="1"/>
    </xf>
    <xf numFmtId="0" fontId="35" fillId="0" borderId="0" xfId="61" applyNumberFormat="1" applyFont="1" applyFill="1" applyBorder="1" applyAlignment="1">
      <alignment horizontal="left" vertical="center" wrapText="1" readingOrder="1"/>
    </xf>
    <xf numFmtId="0" fontId="38" fillId="24" borderId="14" xfId="271" applyNumberFormat="1" applyFont="1" applyFill="1" applyBorder="1" applyAlignment="1">
      <alignment horizontal="left" vertical="center" wrapText="1" readingOrder="1"/>
    </xf>
    <xf numFmtId="0" fontId="38" fillId="30" borderId="26" xfId="271" applyNumberFormat="1" applyFont="1" applyFill="1" applyBorder="1" applyAlignment="1" applyProtection="1">
      <alignment horizontal="right" vertical="center"/>
    </xf>
    <xf numFmtId="0" fontId="38" fillId="30" borderId="42" xfId="271" applyNumberFormat="1" applyFont="1" applyFill="1" applyBorder="1" applyAlignment="1" applyProtection="1">
      <alignment horizontal="right" vertical="center"/>
    </xf>
    <xf numFmtId="0" fontId="51" fillId="0" borderId="26" xfId="203" applyNumberFormat="1" applyFont="1" applyBorder="1" applyAlignment="1">
      <alignment horizontal="center" vertical="center"/>
    </xf>
    <xf numFmtId="0" fontId="51" fillId="0" borderId="42" xfId="203" applyNumberFormat="1" applyFont="1" applyBorder="1" applyAlignment="1">
      <alignment horizontal="center" vertical="center"/>
    </xf>
    <xf numFmtId="0" fontId="51" fillId="0" borderId="43" xfId="203" applyNumberFormat="1" applyFont="1" applyBorder="1" applyAlignment="1">
      <alignment horizontal="center" vertical="center"/>
    </xf>
    <xf numFmtId="4" fontId="46" fillId="0" borderId="36" xfId="61" applyNumberFormat="1" applyFont="1" applyFill="1" applyBorder="1" applyAlignment="1">
      <alignment horizontal="left" vertical="center" wrapText="1" readingOrder="1"/>
    </xf>
    <xf numFmtId="4" fontId="46" fillId="0" borderId="20" xfId="61" applyNumberFormat="1" applyFont="1" applyFill="1" applyBorder="1" applyAlignment="1">
      <alignment horizontal="left" vertical="center" wrapText="1" readingOrder="1"/>
    </xf>
    <xf numFmtId="4" fontId="46" fillId="0" borderId="37" xfId="61" applyNumberFormat="1" applyFont="1" applyFill="1" applyBorder="1" applyAlignment="1">
      <alignment horizontal="left" vertical="center" wrapText="1" readingOrder="1"/>
    </xf>
    <xf numFmtId="4" fontId="46" fillId="0" borderId="27" xfId="61" applyNumberFormat="1" applyFont="1" applyFill="1" applyBorder="1" applyAlignment="1">
      <alignment horizontal="left" vertical="center" wrapText="1" readingOrder="1"/>
    </xf>
    <xf numFmtId="4" fontId="46" fillId="0" borderId="15" xfId="61" applyNumberFormat="1" applyFont="1" applyFill="1" applyBorder="1" applyAlignment="1">
      <alignment horizontal="left" vertical="center" wrapText="1" readingOrder="1"/>
    </xf>
    <xf numFmtId="4" fontId="46" fillId="0" borderId="39" xfId="61" applyNumberFormat="1" applyFont="1" applyFill="1" applyBorder="1" applyAlignment="1">
      <alignment horizontal="left" vertical="center" wrapText="1" readingOrder="1"/>
    </xf>
    <xf numFmtId="9" fontId="38" fillId="24" borderId="26" xfId="117" applyFont="1" applyFill="1" applyBorder="1" applyAlignment="1">
      <alignment horizontal="center" vertical="center" wrapText="1"/>
    </xf>
    <xf numFmtId="9" fontId="38" fillId="24" borderId="43" xfId="117" applyFont="1" applyFill="1" applyBorder="1" applyAlignment="1">
      <alignment horizontal="center" vertical="center" wrapText="1"/>
    </xf>
    <xf numFmtId="10" fontId="38" fillId="24" borderId="26" xfId="271" applyNumberFormat="1" applyFont="1" applyFill="1" applyBorder="1" applyAlignment="1">
      <alignment horizontal="center" vertical="center" wrapText="1"/>
    </xf>
    <xf numFmtId="0" fontId="38" fillId="24" borderId="43" xfId="271" applyNumberFormat="1" applyFont="1" applyFill="1" applyBorder="1" applyAlignment="1">
      <alignment horizontal="center" vertical="center" wrapText="1"/>
    </xf>
    <xf numFmtId="0" fontId="38" fillId="24" borderId="21" xfId="271" applyNumberFormat="1" applyFont="1" applyFill="1" applyBorder="1" applyAlignment="1">
      <alignment horizontal="center" vertical="center"/>
    </xf>
    <xf numFmtId="0" fontId="38" fillId="24" borderId="23" xfId="271" applyNumberFormat="1" applyFont="1" applyFill="1" applyBorder="1" applyAlignment="1">
      <alignment horizontal="center" vertical="center"/>
    </xf>
    <xf numFmtId="0" fontId="38" fillId="24" borderId="36" xfId="271" applyNumberFormat="1" applyFont="1" applyFill="1" applyBorder="1" applyAlignment="1" applyProtection="1">
      <alignment horizontal="center" vertical="center" wrapText="1"/>
    </xf>
    <xf numFmtId="0" fontId="38" fillId="24" borderId="20" xfId="271" applyNumberFormat="1" applyFont="1" applyFill="1" applyBorder="1" applyAlignment="1" applyProtection="1">
      <alignment horizontal="center" vertical="center" wrapText="1"/>
    </xf>
    <xf numFmtId="0" fontId="38" fillId="24" borderId="37" xfId="271" applyNumberFormat="1" applyFont="1" applyFill="1" applyBorder="1" applyAlignment="1" applyProtection="1">
      <alignment horizontal="center" vertical="center" wrapText="1"/>
    </xf>
    <xf numFmtId="0" fontId="38" fillId="24" borderId="27" xfId="271" applyNumberFormat="1" applyFont="1" applyFill="1" applyBorder="1" applyAlignment="1" applyProtection="1">
      <alignment horizontal="center" vertical="center" wrapText="1"/>
    </xf>
    <xf numFmtId="0" fontId="38" fillId="24" borderId="15" xfId="271" applyNumberFormat="1" applyFont="1" applyFill="1" applyBorder="1" applyAlignment="1" applyProtection="1">
      <alignment horizontal="center" vertical="center" wrapText="1"/>
    </xf>
    <xf numFmtId="0" fontId="38" fillId="24" borderId="39" xfId="271" applyNumberFormat="1" applyFont="1" applyFill="1" applyBorder="1" applyAlignment="1" applyProtection="1">
      <alignment horizontal="center" vertical="center" wrapText="1"/>
    </xf>
    <xf numFmtId="0" fontId="38" fillId="24" borderId="21" xfId="271" applyNumberFormat="1" applyFont="1" applyFill="1" applyBorder="1" applyAlignment="1" applyProtection="1">
      <alignment horizontal="center" vertical="center" wrapText="1"/>
    </xf>
    <xf numFmtId="0" fontId="38" fillId="24" borderId="23" xfId="271" applyNumberFormat="1" applyFont="1" applyFill="1" applyBorder="1" applyAlignment="1" applyProtection="1">
      <alignment horizontal="center" vertical="center" wrapText="1"/>
    </xf>
    <xf numFmtId="4" fontId="46" fillId="0" borderId="26" xfId="61" applyNumberFormat="1" applyFont="1" applyFill="1" applyBorder="1" applyAlignment="1">
      <alignment horizontal="left" vertical="center" wrapText="1" readingOrder="1"/>
    </xf>
    <xf numFmtId="4" fontId="46" fillId="0" borderId="42" xfId="61" applyNumberFormat="1" applyFont="1" applyFill="1" applyBorder="1" applyAlignment="1">
      <alignment horizontal="left" vertical="center" wrapText="1" readingOrder="1"/>
    </xf>
    <xf numFmtId="4" fontId="46" fillId="0" borderId="43" xfId="61" applyNumberFormat="1" applyFont="1" applyFill="1" applyBorder="1" applyAlignment="1">
      <alignment horizontal="left" vertical="center" wrapText="1" readingOrder="1"/>
    </xf>
    <xf numFmtId="164" fontId="46" fillId="26" borderId="36" xfId="201" applyFont="1" applyFill="1" applyBorder="1" applyAlignment="1">
      <alignment horizontal="center" vertical="center" readingOrder="1"/>
    </xf>
    <xf numFmtId="164" fontId="46" fillId="26" borderId="37" xfId="201" applyFont="1" applyFill="1" applyBorder="1" applyAlignment="1">
      <alignment horizontal="center" vertical="center" readingOrder="1"/>
    </xf>
    <xf numFmtId="0" fontId="47" fillId="26" borderId="27" xfId="201" applyNumberFormat="1" applyFont="1" applyFill="1" applyBorder="1" applyAlignment="1">
      <alignment horizontal="center" vertical="center" readingOrder="1"/>
    </xf>
    <xf numFmtId="0" fontId="47" fillId="26" borderId="39" xfId="201" applyNumberFormat="1" applyFont="1" applyFill="1" applyBorder="1" applyAlignment="1">
      <alignment horizontal="center" vertical="center" readingOrder="1"/>
    </xf>
    <xf numFmtId="4" fontId="37" fillId="0" borderId="36" xfId="61" applyFont="1" applyFill="1" applyBorder="1" applyAlignment="1">
      <alignment horizontal="center" vertical="center" wrapText="1" readingOrder="1"/>
    </xf>
    <xf numFmtId="4" fontId="37" fillId="0" borderId="20" xfId="61" applyFont="1" applyFill="1" applyBorder="1" applyAlignment="1">
      <alignment horizontal="center" vertical="center" wrapText="1" readingOrder="1"/>
    </xf>
    <xf numFmtId="4" fontId="37" fillId="0" borderId="37" xfId="61" applyFont="1" applyFill="1" applyBorder="1" applyAlignment="1">
      <alignment horizontal="center" vertical="center" wrapText="1" readingOrder="1"/>
    </xf>
    <xf numFmtId="4" fontId="37" fillId="0" borderId="29" xfId="61" applyFont="1" applyFill="1" applyBorder="1" applyAlignment="1">
      <alignment horizontal="center" vertical="center" wrapText="1" readingOrder="1"/>
    </xf>
    <xf numFmtId="4" fontId="37" fillId="0" borderId="0" xfId="61" applyFont="1" applyFill="1" applyBorder="1" applyAlignment="1">
      <alignment horizontal="center" vertical="center" wrapText="1" readingOrder="1"/>
    </xf>
    <xf numFmtId="4" fontId="37" fillId="0" borderId="38" xfId="61" applyFont="1" applyFill="1" applyBorder="1" applyAlignment="1">
      <alignment horizontal="center" vertical="center" wrapText="1" readingOrder="1"/>
    </xf>
    <xf numFmtId="4" fontId="37" fillId="0" borderId="27" xfId="61" applyFont="1" applyFill="1" applyBorder="1" applyAlignment="1">
      <alignment horizontal="center" vertical="center" wrapText="1" readingOrder="1"/>
    </xf>
    <xf numFmtId="4" fontId="37" fillId="0" borderId="15" xfId="61" applyFont="1" applyFill="1" applyBorder="1" applyAlignment="1">
      <alignment horizontal="center" vertical="center" wrapText="1" readingOrder="1"/>
    </xf>
    <xf numFmtId="4" fontId="37" fillId="0" borderId="39" xfId="61" applyFont="1" applyFill="1" applyBorder="1" applyAlignment="1">
      <alignment horizontal="center" vertical="center" wrapText="1" readingOrder="1"/>
    </xf>
    <xf numFmtId="3" fontId="38" fillId="0" borderId="14" xfId="61" applyNumberFormat="1" applyFont="1" applyFill="1" applyBorder="1" applyAlignment="1">
      <alignment horizontal="center" vertical="center" readingOrder="1"/>
    </xf>
    <xf numFmtId="4" fontId="37" fillId="0" borderId="14" xfId="61" applyFont="1" applyFill="1" applyBorder="1" applyAlignment="1">
      <alignment horizontal="center" vertical="center" wrapText="1" readingOrder="1"/>
    </xf>
    <xf numFmtId="3" fontId="38" fillId="0" borderId="14" xfId="61" applyNumberFormat="1" applyFont="1" applyFill="1" applyBorder="1" applyAlignment="1">
      <alignment horizontal="center" vertical="center" wrapText="1" readingOrder="1"/>
    </xf>
    <xf numFmtId="3" fontId="37" fillId="0" borderId="14" xfId="61" applyNumberFormat="1" applyFont="1" applyFill="1" applyBorder="1" applyAlignment="1">
      <alignment horizontal="center" vertical="center" wrapText="1" readingOrder="1"/>
    </xf>
    <xf numFmtId="4" fontId="38" fillId="0" borderId="29" xfId="61" applyFont="1" applyFill="1" applyBorder="1" applyAlignment="1">
      <alignment horizontal="center" vertical="center" readingOrder="1"/>
    </xf>
    <xf numFmtId="4" fontId="38" fillId="0" borderId="0" xfId="61" applyFont="1" applyFill="1" applyBorder="1" applyAlignment="1">
      <alignment horizontal="center" vertical="center" readingOrder="1"/>
    </xf>
    <xf numFmtId="4" fontId="38" fillId="0" borderId="38" xfId="61" applyFont="1" applyFill="1" applyBorder="1" applyAlignment="1">
      <alignment horizontal="center" vertical="center" readingOrder="1"/>
    </xf>
    <xf numFmtId="4" fontId="37" fillId="0" borderId="0" xfId="61" applyFont="1" applyFill="1" applyBorder="1" applyAlignment="1">
      <alignment vertical="center" readingOrder="1"/>
    </xf>
    <xf numFmtId="4" fontId="38" fillId="0" borderId="26" xfId="61" applyFont="1" applyFill="1" applyBorder="1" applyAlignment="1">
      <alignment horizontal="center" vertical="center" readingOrder="1"/>
    </xf>
    <xf numFmtId="4" fontId="38" fillId="0" borderId="42" xfId="61" applyFont="1" applyFill="1" applyBorder="1" applyAlignment="1">
      <alignment horizontal="center" vertical="center" readingOrder="1"/>
    </xf>
    <xf numFmtId="4" fontId="38" fillId="0" borderId="43" xfId="61" applyFont="1" applyFill="1" applyBorder="1" applyAlignment="1">
      <alignment horizontal="center" vertical="center" readingOrder="1"/>
    </xf>
    <xf numFmtId="4" fontId="38" fillId="0" borderId="14" xfId="61" applyFont="1" applyBorder="1" applyAlignment="1">
      <alignment horizontal="center" vertical="center"/>
    </xf>
    <xf numFmtId="4" fontId="37" fillId="0" borderId="14" xfId="61" applyFont="1" applyBorder="1" applyAlignment="1">
      <alignment horizontal="left" vertical="center" wrapText="1"/>
    </xf>
    <xf numFmtId="4" fontId="70" fillId="0" borderId="0" xfId="61" applyFont="1" applyFill="1" applyBorder="1" applyAlignment="1">
      <alignment horizontal="left" vertical="center" readingOrder="1"/>
    </xf>
    <xf numFmtId="4" fontId="37" fillId="0" borderId="26" xfId="61" applyFont="1" applyFill="1" applyBorder="1" applyAlignment="1">
      <alignment horizontal="left" vertical="center" readingOrder="1"/>
    </xf>
    <xf numFmtId="4" fontId="37" fillId="0" borderId="42" xfId="61" applyFont="1" applyFill="1" applyBorder="1" applyAlignment="1">
      <alignment horizontal="left" vertical="center" readingOrder="1"/>
    </xf>
    <xf numFmtId="4" fontId="37" fillId="0" borderId="43" xfId="61" applyFont="1" applyFill="1" applyBorder="1" applyAlignment="1">
      <alignment horizontal="left" vertical="center" readingOrder="1"/>
    </xf>
    <xf numFmtId="4" fontId="37" fillId="0" borderId="14" xfId="61" applyFont="1" applyFill="1" applyBorder="1" applyAlignment="1">
      <alignment horizontal="center" vertical="center" readingOrder="1"/>
    </xf>
    <xf numFmtId="4" fontId="37" fillId="0" borderId="26" xfId="61" applyFont="1" applyFill="1" applyBorder="1" applyAlignment="1">
      <alignment horizontal="center" vertical="center" readingOrder="1"/>
    </xf>
    <xf numFmtId="4" fontId="37" fillId="0" borderId="29" xfId="61" applyFont="1" applyFill="1" applyBorder="1" applyAlignment="1">
      <alignment horizontal="right" vertical="center" readingOrder="1"/>
    </xf>
    <xf numFmtId="4" fontId="37" fillId="0" borderId="0" xfId="61" applyFont="1" applyFill="1" applyBorder="1" applyAlignment="1">
      <alignment horizontal="right" vertical="center" readingOrder="1"/>
    </xf>
    <xf numFmtId="164" fontId="37" fillId="0" borderId="20" xfId="201" applyFont="1" applyFill="1" applyBorder="1" applyAlignment="1">
      <alignment horizontal="center" vertical="center" readingOrder="1"/>
    </xf>
    <xf numFmtId="4" fontId="37" fillId="0" borderId="36" xfId="61" applyFont="1" applyFill="1" applyBorder="1" applyAlignment="1">
      <alignment horizontal="center" vertical="center" readingOrder="1"/>
    </xf>
    <xf numFmtId="4" fontId="37" fillId="0" borderId="20" xfId="61" applyFont="1" applyFill="1" applyBorder="1" applyAlignment="1">
      <alignment horizontal="center" vertical="center" readingOrder="1"/>
    </xf>
    <xf numFmtId="4" fontId="37" fillId="0" borderId="37" xfId="61" applyFont="1" applyFill="1" applyBorder="1" applyAlignment="1">
      <alignment horizontal="center" vertical="center" readingOrder="1"/>
    </xf>
    <xf numFmtId="10" fontId="37" fillId="0" borderId="36" xfId="61" applyNumberFormat="1" applyFont="1" applyFill="1" applyBorder="1" applyAlignment="1">
      <alignment horizontal="left" vertical="center" readingOrder="1"/>
    </xf>
    <xf numFmtId="10" fontId="37" fillId="0" borderId="27" xfId="61" applyNumberFormat="1" applyFont="1" applyFill="1" applyBorder="1" applyAlignment="1">
      <alignment horizontal="left" vertical="center" readingOrder="1"/>
    </xf>
    <xf numFmtId="10" fontId="37" fillId="0" borderId="37" xfId="61" applyNumberFormat="1" applyFont="1" applyFill="1" applyBorder="1" applyAlignment="1">
      <alignment horizontal="center" vertical="center" readingOrder="1"/>
    </xf>
    <xf numFmtId="10" fontId="37" fillId="0" borderId="39" xfId="61" applyNumberFormat="1" applyFont="1" applyFill="1" applyBorder="1" applyAlignment="1">
      <alignment horizontal="center" vertical="center" readingOrder="1"/>
    </xf>
    <xf numFmtId="4" fontId="37" fillId="0" borderId="29" xfId="61" applyFont="1" applyFill="1" applyBorder="1" applyAlignment="1">
      <alignment horizontal="left" vertical="center" wrapText="1" readingOrder="1"/>
    </xf>
    <xf numFmtId="4" fontId="37" fillId="0" borderId="0" xfId="61" applyFont="1" applyFill="1" applyBorder="1" applyAlignment="1">
      <alignment horizontal="left" vertical="center" wrapText="1" readingOrder="1"/>
    </xf>
    <xf numFmtId="4" fontId="37" fillId="0" borderId="38" xfId="61" applyFont="1" applyFill="1" applyBorder="1" applyAlignment="1">
      <alignment horizontal="left" vertical="center" wrapText="1" readingOrder="1"/>
    </xf>
    <xf numFmtId="4" fontId="37" fillId="0" borderId="27" xfId="61" applyFont="1" applyFill="1" applyBorder="1" applyAlignment="1">
      <alignment horizontal="left" vertical="center" wrapText="1" readingOrder="1"/>
    </xf>
    <xf numFmtId="4" fontId="37" fillId="0" borderId="15" xfId="61" applyFont="1" applyFill="1" applyBorder="1" applyAlignment="1">
      <alignment horizontal="left" vertical="center" wrapText="1" readingOrder="1"/>
    </xf>
    <xf numFmtId="4" fontId="37" fillId="0" borderId="39" xfId="61" applyFont="1" applyFill="1" applyBorder="1" applyAlignment="1">
      <alignment horizontal="left" vertical="center" wrapText="1" readingOrder="1"/>
    </xf>
    <xf numFmtId="4" fontId="51" fillId="0" borderId="26" xfId="61" applyFont="1" applyFill="1" applyBorder="1" applyAlignment="1">
      <alignment horizontal="center" vertical="center" readingOrder="1"/>
    </xf>
    <xf numFmtId="4" fontId="51" fillId="0" borderId="42" xfId="61" applyFont="1" applyFill="1" applyBorder="1" applyAlignment="1">
      <alignment horizontal="center" vertical="center" readingOrder="1"/>
    </xf>
    <xf numFmtId="4" fontId="51" fillId="0" borderId="43" xfId="61" applyFont="1" applyFill="1" applyBorder="1" applyAlignment="1">
      <alignment horizontal="center" vertical="center" readingOrder="1"/>
    </xf>
    <xf numFmtId="4" fontId="38" fillId="0" borderId="14" xfId="61" applyFont="1" applyFill="1" applyBorder="1" applyAlignment="1">
      <alignment horizontal="center" vertical="center" wrapText="1" readingOrder="1"/>
    </xf>
    <xf numFmtId="4" fontId="37" fillId="0" borderId="36" xfId="61" applyFont="1" applyFill="1" applyBorder="1" applyAlignment="1">
      <alignment horizontal="left" vertical="center" wrapText="1" readingOrder="1"/>
    </xf>
    <xf numFmtId="4" fontId="37" fillId="0" borderId="20" xfId="61" applyFont="1" applyFill="1" applyBorder="1" applyAlignment="1">
      <alignment horizontal="left" vertical="center" wrapText="1" readingOrder="1"/>
    </xf>
    <xf numFmtId="4" fontId="37" fillId="0" borderId="37" xfId="61" applyFont="1" applyFill="1" applyBorder="1" applyAlignment="1">
      <alignment horizontal="left" vertical="center" wrapText="1" readingOrder="1"/>
    </xf>
    <xf numFmtId="4" fontId="37" fillId="0" borderId="43" xfId="61" applyFont="1" applyFill="1" applyBorder="1" applyAlignment="1">
      <alignment horizontal="center" vertical="center" readingOrder="1"/>
    </xf>
    <xf numFmtId="10" fontId="37" fillId="0" borderId="29" xfId="61" applyNumberFormat="1" applyFont="1" applyFill="1" applyBorder="1" applyAlignment="1">
      <alignment horizontal="left" vertical="center" readingOrder="1"/>
    </xf>
    <xf numFmtId="10" fontId="37" fillId="0" borderId="20" xfId="61" applyNumberFormat="1" applyFont="1" applyFill="1" applyBorder="1" applyAlignment="1">
      <alignment horizontal="center" vertical="center" readingOrder="1"/>
    </xf>
    <xf numFmtId="10" fontId="37" fillId="0" borderId="0" xfId="61" applyNumberFormat="1" applyFont="1" applyFill="1" applyBorder="1" applyAlignment="1">
      <alignment horizontal="center" vertical="center" readingOrder="1"/>
    </xf>
    <xf numFmtId="10" fontId="37" fillId="0" borderId="15" xfId="61" applyNumberFormat="1" applyFont="1" applyFill="1" applyBorder="1" applyAlignment="1">
      <alignment horizontal="center" vertical="center" readingOrder="1"/>
    </xf>
    <xf numFmtId="4" fontId="51" fillId="0" borderId="26" xfId="61" applyFont="1" applyFill="1" applyBorder="1" applyAlignment="1">
      <alignment horizontal="center" vertical="center" wrapText="1" readingOrder="1"/>
    </xf>
    <xf numFmtId="4" fontId="51" fillId="0" borderId="42" xfId="61" applyFont="1" applyFill="1" applyBorder="1" applyAlignment="1">
      <alignment horizontal="center" vertical="center" wrapText="1" readingOrder="1"/>
    </xf>
    <xf numFmtId="4" fontId="51" fillId="0" borderId="43" xfId="61" applyFont="1" applyFill="1" applyBorder="1" applyAlignment="1">
      <alignment horizontal="center" vertical="center" wrapText="1" readingOrder="1"/>
    </xf>
    <xf numFmtId="4" fontId="38" fillId="26" borderId="14" xfId="61" applyFont="1" applyFill="1" applyBorder="1" applyAlignment="1">
      <alignment horizontal="center" vertical="center" wrapText="1" readingOrder="1"/>
    </xf>
  </cellXfs>
  <cellStyles count="909">
    <cellStyle name="20% - Accent1" xfId="1"/>
    <cellStyle name="20% - Accent1 2" xfId="2"/>
    <cellStyle name="20% - Accent1_ORÇAMENTO REV 04" xfId="272"/>
    <cellStyle name="20% - Accent2" xfId="3"/>
    <cellStyle name="20% - Accent2 2" xfId="4"/>
    <cellStyle name="20% - Accent2_ORÇAMENTO REV 04" xfId="273"/>
    <cellStyle name="20% - Accent3" xfId="5"/>
    <cellStyle name="20% - Accent3 2" xfId="6"/>
    <cellStyle name="20% - Accent3_ORÇAMENTO REV 04" xfId="274"/>
    <cellStyle name="20% - Accent4" xfId="7"/>
    <cellStyle name="20% - Accent4 2" xfId="8"/>
    <cellStyle name="20% - Accent4_ORÇAMENTO REV 04" xfId="275"/>
    <cellStyle name="20% - Accent5" xfId="9"/>
    <cellStyle name="20% - Accent5 2" xfId="10"/>
    <cellStyle name="20% - Accent5_ORÇAMENTO REV 04" xfId="276"/>
    <cellStyle name="20% - Accent6" xfId="11"/>
    <cellStyle name="20% - Accent6 2" xfId="12"/>
    <cellStyle name="20% - Accent6_ORÇAMENTO REV 04" xfId="277"/>
    <cellStyle name="20% - Ênfase1 10" xfId="278"/>
    <cellStyle name="20% - Ênfase1 11" xfId="279"/>
    <cellStyle name="20% - Ênfase1 2" xfId="280"/>
    <cellStyle name="20% - Ênfase1 3" xfId="281"/>
    <cellStyle name="20% - Ênfase1 4" xfId="282"/>
    <cellStyle name="20% - Ênfase1 5" xfId="283"/>
    <cellStyle name="20% - Ênfase1 6" xfId="284"/>
    <cellStyle name="20% - Ênfase1 7" xfId="285"/>
    <cellStyle name="20% - Ênfase1 8" xfId="286"/>
    <cellStyle name="20% - Ênfase1 9" xfId="287"/>
    <cellStyle name="20% - Ênfase2 10" xfId="288"/>
    <cellStyle name="20% - Ênfase2 11" xfId="289"/>
    <cellStyle name="20% - Ênfase2 2" xfId="290"/>
    <cellStyle name="20% - Ênfase2 3" xfId="291"/>
    <cellStyle name="20% - Ênfase2 4" xfId="292"/>
    <cellStyle name="20% - Ênfase2 5" xfId="293"/>
    <cellStyle name="20% - Ênfase2 6" xfId="294"/>
    <cellStyle name="20% - Ênfase2 7" xfId="295"/>
    <cellStyle name="20% - Ênfase2 8" xfId="296"/>
    <cellStyle name="20% - Ênfase2 9" xfId="297"/>
    <cellStyle name="20% - Ênfase3 10" xfId="298"/>
    <cellStyle name="20% - Ênfase3 11" xfId="299"/>
    <cellStyle name="20% - Ênfase3 2" xfId="300"/>
    <cellStyle name="20% - Ênfase3 3" xfId="301"/>
    <cellStyle name="20% - Ênfase3 4" xfId="302"/>
    <cellStyle name="20% - Ênfase3 5" xfId="303"/>
    <cellStyle name="20% - Ênfase3 6" xfId="304"/>
    <cellStyle name="20% - Ênfase3 7" xfId="305"/>
    <cellStyle name="20% - Ênfase3 8" xfId="306"/>
    <cellStyle name="20% - Ênfase3 9" xfId="307"/>
    <cellStyle name="20% - Ênfase4 10" xfId="308"/>
    <cellStyle name="20% - Ênfase4 11" xfId="309"/>
    <cellStyle name="20% - Ênfase4 2" xfId="310"/>
    <cellStyle name="20% - Ênfase4 3" xfId="311"/>
    <cellStyle name="20% - Ênfase4 4" xfId="312"/>
    <cellStyle name="20% - Ênfase4 5" xfId="313"/>
    <cellStyle name="20% - Ênfase4 6" xfId="314"/>
    <cellStyle name="20% - Ênfase4 7" xfId="315"/>
    <cellStyle name="20% - Ênfase4 8" xfId="316"/>
    <cellStyle name="20% - Ênfase4 9" xfId="317"/>
    <cellStyle name="20% - Ênfase5 10" xfId="318"/>
    <cellStyle name="20% - Ênfase5 11" xfId="319"/>
    <cellStyle name="20% - Ênfase5 2" xfId="320"/>
    <cellStyle name="20% - Ênfase5 3" xfId="321"/>
    <cellStyle name="20% - Ênfase5 4" xfId="322"/>
    <cellStyle name="20% - Ênfase5 5" xfId="323"/>
    <cellStyle name="20% - Ênfase5 6" xfId="324"/>
    <cellStyle name="20% - Ênfase5 7" xfId="325"/>
    <cellStyle name="20% - Ênfase5 8" xfId="326"/>
    <cellStyle name="20% - Ênfase5 9" xfId="327"/>
    <cellStyle name="20% - Ênfase6 10" xfId="328"/>
    <cellStyle name="20% - Ênfase6 11" xfId="329"/>
    <cellStyle name="20% - Ênfase6 2" xfId="330"/>
    <cellStyle name="20% - Ênfase6 3" xfId="331"/>
    <cellStyle name="20% - Ênfase6 4" xfId="332"/>
    <cellStyle name="20% - Ênfase6 5" xfId="333"/>
    <cellStyle name="20% - Ênfase6 6" xfId="334"/>
    <cellStyle name="20% - Ênfase6 7" xfId="335"/>
    <cellStyle name="20% - Ênfase6 8" xfId="336"/>
    <cellStyle name="20% - Ênfase6 9" xfId="337"/>
    <cellStyle name="40% - Accent1" xfId="13"/>
    <cellStyle name="40% - Accent1 2" xfId="14"/>
    <cellStyle name="40% - Accent1_ORÇAMENTO REV 04" xfId="338"/>
    <cellStyle name="40% - Accent2" xfId="15"/>
    <cellStyle name="40% - Accent2 2" xfId="16"/>
    <cellStyle name="40% - Accent2_ORÇAMENTO REV 04" xfId="339"/>
    <cellStyle name="40% - Accent3" xfId="17"/>
    <cellStyle name="40% - Accent3 2" xfId="18"/>
    <cellStyle name="40% - Accent3_ORÇAMENTO REV 04" xfId="340"/>
    <cellStyle name="40% - Accent4" xfId="19"/>
    <cellStyle name="40% - Accent4 2" xfId="20"/>
    <cellStyle name="40% - Accent4_ORÇAMENTO REV 04" xfId="341"/>
    <cellStyle name="40% - Accent5" xfId="21"/>
    <cellStyle name="40% - Accent5 2" xfId="22"/>
    <cellStyle name="40% - Accent5_ORÇAMENTO REV 04" xfId="342"/>
    <cellStyle name="40% - Accent6" xfId="23"/>
    <cellStyle name="40% - Accent6 2" xfId="24"/>
    <cellStyle name="40% - Accent6_ORÇAMENTO REV 04" xfId="343"/>
    <cellStyle name="40% - Ênfase1 10" xfId="344"/>
    <cellStyle name="40% - Ênfase1 11" xfId="345"/>
    <cellStyle name="40% - Ênfase1 2" xfId="346"/>
    <cellStyle name="40% - Ênfase1 3" xfId="347"/>
    <cellStyle name="40% - Ênfase1 4" xfId="348"/>
    <cellStyle name="40% - Ênfase1 5" xfId="349"/>
    <cellStyle name="40% - Ênfase1 6" xfId="350"/>
    <cellStyle name="40% - Ênfase1 7" xfId="351"/>
    <cellStyle name="40% - Ênfase1 8" xfId="352"/>
    <cellStyle name="40% - Ênfase1 9" xfId="353"/>
    <cellStyle name="40% - Ênfase2 10" xfId="354"/>
    <cellStyle name="40% - Ênfase2 11" xfId="355"/>
    <cellStyle name="40% - Ênfase2 2" xfId="356"/>
    <cellStyle name="40% - Ênfase2 3" xfId="357"/>
    <cellStyle name="40% - Ênfase2 4" xfId="358"/>
    <cellStyle name="40% - Ênfase2 5" xfId="359"/>
    <cellStyle name="40% - Ênfase2 6" xfId="360"/>
    <cellStyle name="40% - Ênfase2 7" xfId="361"/>
    <cellStyle name="40% - Ênfase2 8" xfId="362"/>
    <cellStyle name="40% - Ênfase2 9" xfId="363"/>
    <cellStyle name="40% - Ênfase3 10" xfId="364"/>
    <cellStyle name="40% - Ênfase3 11" xfId="365"/>
    <cellStyle name="40% - Ênfase3 2" xfId="366"/>
    <cellStyle name="40% - Ênfase3 3" xfId="367"/>
    <cellStyle name="40% - Ênfase3 4" xfId="368"/>
    <cellStyle name="40% - Ênfase3 5" xfId="369"/>
    <cellStyle name="40% - Ênfase3 6" xfId="370"/>
    <cellStyle name="40% - Ênfase3 7" xfId="371"/>
    <cellStyle name="40% - Ênfase3 8" xfId="372"/>
    <cellStyle name="40% - Ênfase3 9" xfId="373"/>
    <cellStyle name="40% - Ênfase4 10" xfId="374"/>
    <cellStyle name="40% - Ênfase4 11" xfId="375"/>
    <cellStyle name="40% - Ênfase4 2" xfId="376"/>
    <cellStyle name="40% - Ênfase4 3" xfId="377"/>
    <cellStyle name="40% - Ênfase4 4" xfId="378"/>
    <cellStyle name="40% - Ênfase4 5" xfId="379"/>
    <cellStyle name="40% - Ênfase4 6" xfId="380"/>
    <cellStyle name="40% - Ênfase4 7" xfId="381"/>
    <cellStyle name="40% - Ênfase4 8" xfId="382"/>
    <cellStyle name="40% - Ênfase4 9" xfId="383"/>
    <cellStyle name="40% - Ênfase5 10" xfId="384"/>
    <cellStyle name="40% - Ênfase5 11" xfId="385"/>
    <cellStyle name="40% - Ênfase5 2" xfId="386"/>
    <cellStyle name="40% - Ênfase5 3" xfId="387"/>
    <cellStyle name="40% - Ênfase5 4" xfId="388"/>
    <cellStyle name="40% - Ênfase5 5" xfId="389"/>
    <cellStyle name="40% - Ênfase5 6" xfId="390"/>
    <cellStyle name="40% - Ênfase5 7" xfId="391"/>
    <cellStyle name="40% - Ênfase5 8" xfId="392"/>
    <cellStyle name="40% - Ênfase5 9" xfId="393"/>
    <cellStyle name="40% - Ênfase6 10" xfId="394"/>
    <cellStyle name="40% - Ênfase6 11" xfId="395"/>
    <cellStyle name="40% - Ênfase6 2" xfId="396"/>
    <cellStyle name="40% - Ênfase6 3" xfId="397"/>
    <cellStyle name="40% - Ênfase6 4" xfId="398"/>
    <cellStyle name="40% - Ênfase6 5" xfId="399"/>
    <cellStyle name="40% - Ênfase6 6" xfId="400"/>
    <cellStyle name="40% - Ênfase6 7" xfId="401"/>
    <cellStyle name="40% - Ênfase6 8" xfId="402"/>
    <cellStyle name="40% - Ênfase6 9" xfId="403"/>
    <cellStyle name="60% - Accent1" xfId="25"/>
    <cellStyle name="60% - Accent2" xfId="26"/>
    <cellStyle name="60% - Accent3" xfId="27"/>
    <cellStyle name="60% - Accent4" xfId="28"/>
    <cellStyle name="60% - Accent5" xfId="29"/>
    <cellStyle name="60% - Accent6" xfId="30"/>
    <cellStyle name="60% - Ênfase1 10" xfId="404"/>
    <cellStyle name="60% - Ênfase1 11" xfId="405"/>
    <cellStyle name="60% - Ênfase1 2" xfId="406"/>
    <cellStyle name="60% - Ênfase1 3" xfId="407"/>
    <cellStyle name="60% - Ênfase1 4" xfId="408"/>
    <cellStyle name="60% - Ênfase1 5" xfId="409"/>
    <cellStyle name="60% - Ênfase1 6" xfId="410"/>
    <cellStyle name="60% - Ênfase1 7" xfId="411"/>
    <cellStyle name="60% - Ênfase1 8" xfId="412"/>
    <cellStyle name="60% - Ênfase1 9" xfId="413"/>
    <cellStyle name="60% - Ênfase2 10" xfId="414"/>
    <cellStyle name="60% - Ênfase2 11" xfId="415"/>
    <cellStyle name="60% - Ênfase2 2" xfId="416"/>
    <cellStyle name="60% - Ênfase2 3" xfId="417"/>
    <cellStyle name="60% - Ênfase2 4" xfId="418"/>
    <cellStyle name="60% - Ênfase2 5" xfId="419"/>
    <cellStyle name="60% - Ênfase2 6" xfId="420"/>
    <cellStyle name="60% - Ênfase2 7" xfId="421"/>
    <cellStyle name="60% - Ênfase2 8" xfId="422"/>
    <cellStyle name="60% - Ênfase2 9" xfId="423"/>
    <cellStyle name="60% - Ênfase3 10" xfId="424"/>
    <cellStyle name="60% - Ênfase3 11" xfId="425"/>
    <cellStyle name="60% - Ênfase3 2" xfId="426"/>
    <cellStyle name="60% - Ênfase3 3" xfId="427"/>
    <cellStyle name="60% - Ênfase3 4" xfId="428"/>
    <cellStyle name="60% - Ênfase3 5" xfId="429"/>
    <cellStyle name="60% - Ênfase3 6" xfId="430"/>
    <cellStyle name="60% - Ênfase3 7" xfId="431"/>
    <cellStyle name="60% - Ênfase3 8" xfId="432"/>
    <cellStyle name="60% - Ênfase3 9" xfId="433"/>
    <cellStyle name="60% - Ênfase4 10" xfId="434"/>
    <cellStyle name="60% - Ênfase4 11" xfId="435"/>
    <cellStyle name="60% - Ênfase4 2" xfId="436"/>
    <cellStyle name="60% - Ênfase4 3" xfId="437"/>
    <cellStyle name="60% - Ênfase4 4" xfId="438"/>
    <cellStyle name="60% - Ênfase4 5" xfId="439"/>
    <cellStyle name="60% - Ênfase4 6" xfId="440"/>
    <cellStyle name="60% - Ênfase4 7" xfId="441"/>
    <cellStyle name="60% - Ênfase4 8" xfId="442"/>
    <cellStyle name="60% - Ênfase4 9" xfId="443"/>
    <cellStyle name="60% - Ênfase5 10" xfId="444"/>
    <cellStyle name="60% - Ênfase5 11" xfId="445"/>
    <cellStyle name="60% - Ênfase5 2" xfId="446"/>
    <cellStyle name="60% - Ênfase5 3" xfId="447"/>
    <cellStyle name="60% - Ênfase5 4" xfId="448"/>
    <cellStyle name="60% - Ênfase5 5" xfId="449"/>
    <cellStyle name="60% - Ênfase5 6" xfId="450"/>
    <cellStyle name="60% - Ênfase5 7" xfId="451"/>
    <cellStyle name="60% - Ênfase5 8" xfId="452"/>
    <cellStyle name="60% - Ênfase5 9" xfId="453"/>
    <cellStyle name="60% - Ênfase6 10" xfId="454"/>
    <cellStyle name="60% - Ênfase6 11" xfId="455"/>
    <cellStyle name="60% - Ênfase6 2" xfId="456"/>
    <cellStyle name="60% - Ênfase6 3" xfId="457"/>
    <cellStyle name="60% - Ênfase6 4" xfId="458"/>
    <cellStyle name="60% - Ênfase6 5" xfId="459"/>
    <cellStyle name="60% - Ênfase6 6" xfId="460"/>
    <cellStyle name="60% - Ênfase6 7" xfId="461"/>
    <cellStyle name="60% - Ênfase6 8" xfId="462"/>
    <cellStyle name="60% - Ênfase6 9" xfId="463"/>
    <cellStyle name="Accent1" xfId="31"/>
    <cellStyle name="Accent2" xfId="32"/>
    <cellStyle name="Accent3" xfId="33"/>
    <cellStyle name="Accent4" xfId="34"/>
    <cellStyle name="Accent5" xfId="35"/>
    <cellStyle name="Accent6" xfId="36"/>
    <cellStyle name="Bad" xfId="37"/>
    <cellStyle name="Bom 10" xfId="464"/>
    <cellStyle name="Bom 11" xfId="465"/>
    <cellStyle name="Bom 2" xfId="466"/>
    <cellStyle name="Bom 3" xfId="467"/>
    <cellStyle name="Bom 4" xfId="468"/>
    <cellStyle name="Bom 5" xfId="469"/>
    <cellStyle name="Bom 6" xfId="470"/>
    <cellStyle name="Bom 7" xfId="471"/>
    <cellStyle name="Bom 8" xfId="472"/>
    <cellStyle name="Bom 9" xfId="473"/>
    <cellStyle name="Calculation" xfId="38"/>
    <cellStyle name="Cálculo" xfId="39" builtinId="22" customBuiltin="1"/>
    <cellStyle name="Cálculo 10" xfId="474"/>
    <cellStyle name="Cálculo 11" xfId="475"/>
    <cellStyle name="Cálculo 2" xfId="40"/>
    <cellStyle name="Cálculo 3" xfId="41"/>
    <cellStyle name="Cálculo 4" xfId="206"/>
    <cellStyle name="Cálculo 5" xfId="476"/>
    <cellStyle name="Cálculo 6" xfId="477"/>
    <cellStyle name="Cálculo 7" xfId="478"/>
    <cellStyle name="Cálculo 8" xfId="479"/>
    <cellStyle name="Cálculo 9" xfId="480"/>
    <cellStyle name="Célula de Verificação 10" xfId="481"/>
    <cellStyle name="Célula de Verificação 11" xfId="482"/>
    <cellStyle name="Célula de Verificação 2" xfId="483"/>
    <cellStyle name="Célula de Verificação 3" xfId="484"/>
    <cellStyle name="Célula de Verificação 4" xfId="485"/>
    <cellStyle name="Célula de Verificação 5" xfId="486"/>
    <cellStyle name="Célula de Verificação 6" xfId="487"/>
    <cellStyle name="Célula de Verificação 7" xfId="488"/>
    <cellStyle name="Célula de Verificação 8" xfId="489"/>
    <cellStyle name="Célula de Verificação 9" xfId="490"/>
    <cellStyle name="Célula Vinculada 10" xfId="491"/>
    <cellStyle name="Célula Vinculada 11" xfId="492"/>
    <cellStyle name="Célula Vinculada 2" xfId="493"/>
    <cellStyle name="Célula Vinculada 3" xfId="494"/>
    <cellStyle name="Célula Vinculada 4" xfId="495"/>
    <cellStyle name="Célula Vinculada 5" xfId="496"/>
    <cellStyle name="Célula Vinculada 6" xfId="497"/>
    <cellStyle name="Célula Vinculada 7" xfId="498"/>
    <cellStyle name="Célula Vinculada 8" xfId="499"/>
    <cellStyle name="Célula Vinculada 9" xfId="500"/>
    <cellStyle name="Check Cell" xfId="42"/>
    <cellStyle name="Código" xfId="43"/>
    <cellStyle name="Descrição" xfId="44"/>
    <cellStyle name="Ênfase1 10" xfId="501"/>
    <cellStyle name="Ênfase1 11" xfId="502"/>
    <cellStyle name="Ênfase1 2" xfId="503"/>
    <cellStyle name="Ênfase1 3" xfId="504"/>
    <cellStyle name="Ênfase1 4" xfId="505"/>
    <cellStyle name="Ênfase1 5" xfId="506"/>
    <cellStyle name="Ênfase1 6" xfId="507"/>
    <cellStyle name="Ênfase1 7" xfId="508"/>
    <cellStyle name="Ênfase1 8" xfId="509"/>
    <cellStyle name="Ênfase1 9" xfId="510"/>
    <cellStyle name="Ênfase2 10" xfId="511"/>
    <cellStyle name="Ênfase2 11" xfId="512"/>
    <cellStyle name="Ênfase2 2" xfId="513"/>
    <cellStyle name="Ênfase2 3" xfId="514"/>
    <cellStyle name="Ênfase2 4" xfId="515"/>
    <cellStyle name="Ênfase2 5" xfId="516"/>
    <cellStyle name="Ênfase2 6" xfId="517"/>
    <cellStyle name="Ênfase2 7" xfId="518"/>
    <cellStyle name="Ênfase2 8" xfId="519"/>
    <cellStyle name="Ênfase2 9" xfId="520"/>
    <cellStyle name="Ênfase3 10" xfId="521"/>
    <cellStyle name="Ênfase3 11" xfId="522"/>
    <cellStyle name="Ênfase3 2" xfId="523"/>
    <cellStyle name="Ênfase3 3" xfId="524"/>
    <cellStyle name="Ênfase3 4" xfId="525"/>
    <cellStyle name="Ênfase3 5" xfId="526"/>
    <cellStyle name="Ênfase3 6" xfId="527"/>
    <cellStyle name="Ênfase3 7" xfId="528"/>
    <cellStyle name="Ênfase3 8" xfId="529"/>
    <cellStyle name="Ênfase3 9" xfId="530"/>
    <cellStyle name="Ênfase4 10" xfId="531"/>
    <cellStyle name="Ênfase4 11" xfId="532"/>
    <cellStyle name="Ênfase4 2" xfId="533"/>
    <cellStyle name="Ênfase4 3" xfId="534"/>
    <cellStyle name="Ênfase4 4" xfId="535"/>
    <cellStyle name="Ênfase4 5" xfId="536"/>
    <cellStyle name="Ênfase4 6" xfId="537"/>
    <cellStyle name="Ênfase4 7" xfId="538"/>
    <cellStyle name="Ênfase4 8" xfId="539"/>
    <cellStyle name="Ênfase4 9" xfId="540"/>
    <cellStyle name="Ênfase5 10" xfId="541"/>
    <cellStyle name="Ênfase5 11" xfId="542"/>
    <cellStyle name="Ênfase5 2" xfId="543"/>
    <cellStyle name="Ênfase5 3" xfId="544"/>
    <cellStyle name="Ênfase5 4" xfId="545"/>
    <cellStyle name="Ênfase5 5" xfId="546"/>
    <cellStyle name="Ênfase5 6" xfId="547"/>
    <cellStyle name="Ênfase5 7" xfId="548"/>
    <cellStyle name="Ênfase5 8" xfId="549"/>
    <cellStyle name="Ênfase5 9" xfId="550"/>
    <cellStyle name="Ênfase6 10" xfId="551"/>
    <cellStyle name="Ênfase6 11" xfId="552"/>
    <cellStyle name="Ênfase6 2" xfId="553"/>
    <cellStyle name="Ênfase6 3" xfId="554"/>
    <cellStyle name="Ênfase6 4" xfId="555"/>
    <cellStyle name="Ênfase6 5" xfId="556"/>
    <cellStyle name="Ênfase6 6" xfId="557"/>
    <cellStyle name="Ênfase6 7" xfId="558"/>
    <cellStyle name="Ênfase6 8" xfId="559"/>
    <cellStyle name="Ênfase6 9" xfId="560"/>
    <cellStyle name="Entrada 10" xfId="561"/>
    <cellStyle name="Entrada 11" xfId="562"/>
    <cellStyle name="Entrada 2" xfId="45"/>
    <cellStyle name="Entrada 3" xfId="46"/>
    <cellStyle name="Entrada 4" xfId="563"/>
    <cellStyle name="Entrada 5" xfId="564"/>
    <cellStyle name="Entrada 6" xfId="565"/>
    <cellStyle name="Entrada 7" xfId="566"/>
    <cellStyle name="Entrada 8" xfId="567"/>
    <cellStyle name="Entrada 9" xfId="568"/>
    <cellStyle name="Euro" xfId="47"/>
    <cellStyle name="Euro 2" xfId="48"/>
    <cellStyle name="Excel Built-in Normal" xfId="569"/>
    <cellStyle name="Explanatory Text" xfId="49"/>
    <cellStyle name="Good" xfId="50"/>
    <cellStyle name="Heading 1" xfId="51"/>
    <cellStyle name="Heading 2" xfId="52"/>
    <cellStyle name="Heading 3" xfId="53"/>
    <cellStyle name="Heading 4" xfId="54"/>
    <cellStyle name="Hiperlink 2" xfId="207"/>
    <cellStyle name="Hyperlink 2" xfId="570"/>
    <cellStyle name="Hyperlink 3" xfId="571"/>
    <cellStyle name="Incorreto 10" xfId="572"/>
    <cellStyle name="Incorreto 11" xfId="573"/>
    <cellStyle name="Incorreto 2" xfId="574"/>
    <cellStyle name="Incorreto 3" xfId="575"/>
    <cellStyle name="Incorreto 4" xfId="576"/>
    <cellStyle name="Incorreto 5" xfId="577"/>
    <cellStyle name="Incorreto 6" xfId="578"/>
    <cellStyle name="Incorreto 7" xfId="579"/>
    <cellStyle name="Incorreto 8" xfId="580"/>
    <cellStyle name="Incorreto 9" xfId="581"/>
    <cellStyle name="Input" xfId="55"/>
    <cellStyle name="Linked Cell" xfId="56"/>
    <cellStyle name="Moeda 2" xfId="57"/>
    <cellStyle name="Moeda 2 2" xfId="58"/>
    <cellStyle name="Moeda 3" xfId="59"/>
    <cellStyle name="Moeda 3 10" xfId="582"/>
    <cellStyle name="Moeda 3 2" xfId="583"/>
    <cellStyle name="Moeda 3 3" xfId="584"/>
    <cellStyle name="Moeda 3 4" xfId="585"/>
    <cellStyle name="Moeda 3 5" xfId="586"/>
    <cellStyle name="Moeda 3 6" xfId="587"/>
    <cellStyle name="Moeda 3 7" xfId="588"/>
    <cellStyle name="Moeda 3 8" xfId="589"/>
    <cellStyle name="Moeda 3 9" xfId="590"/>
    <cellStyle name="Moeda 4" xfId="591"/>
    <cellStyle name="Moeda 5" xfId="592"/>
    <cellStyle name="Neutra 10" xfId="593"/>
    <cellStyle name="Neutra 11" xfId="594"/>
    <cellStyle name="Neutra 2" xfId="595"/>
    <cellStyle name="Neutra 3" xfId="596"/>
    <cellStyle name="Neutra 4" xfId="597"/>
    <cellStyle name="Neutra 5" xfId="598"/>
    <cellStyle name="Neutra 6" xfId="599"/>
    <cellStyle name="Neutra 7" xfId="600"/>
    <cellStyle name="Neutra 8" xfId="601"/>
    <cellStyle name="Neutra 9" xfId="602"/>
    <cellStyle name="Neutral" xfId="60"/>
    <cellStyle name="Normal" xfId="0" builtinId="0"/>
    <cellStyle name="Normal 10" xfId="61"/>
    <cellStyle name="Normal 10 2" xfId="603"/>
    <cellStyle name="Normal 10 3" xfId="604"/>
    <cellStyle name="Normal 10_Orçam_Mantiqueira_rev18" xfId="605"/>
    <cellStyle name="Normal 11" xfId="62"/>
    <cellStyle name="Normal 12" xfId="63"/>
    <cellStyle name="Normal 12 2" xfId="64"/>
    <cellStyle name="Normal 12 2 2" xfId="606"/>
    <cellStyle name="Normal 12 2 3" xfId="607"/>
    <cellStyle name="Normal 12 3" xfId="208"/>
    <cellStyle name="Normal 12 3 2" xfId="209"/>
    <cellStyle name="Normal 12 3 2 2" xfId="210"/>
    <cellStyle name="Normal 12 3 2 2 2" xfId="608"/>
    <cellStyle name="Normal 12 3 2 2 3" xfId="609"/>
    <cellStyle name="Normal 12 3 2 3" xfId="610"/>
    <cellStyle name="Normal 12 3 2 4" xfId="611"/>
    <cellStyle name="Normal 12 3 3" xfId="612"/>
    <cellStyle name="Normal 12 3 4" xfId="613"/>
    <cellStyle name="Normal 12 4" xfId="614"/>
    <cellStyle name="Normal 12 5" xfId="615"/>
    <cellStyle name="Normal 12_Orçam_Mantiqueira_rev18" xfId="616"/>
    <cellStyle name="Normal 13" xfId="65"/>
    <cellStyle name="Normal 13 2" xfId="66"/>
    <cellStyle name="Normal 13 2 2" xfId="617"/>
    <cellStyle name="Normal 13 2 3" xfId="618"/>
    <cellStyle name="Normal 13 3" xfId="619"/>
    <cellStyle name="Normal 13 4" xfId="620"/>
    <cellStyle name="Normal 13_Orçam_Mantiqueira_rev18" xfId="621"/>
    <cellStyle name="Normal 14" xfId="67"/>
    <cellStyle name="Normal 14 2" xfId="622"/>
    <cellStyle name="Normal 14 3" xfId="623"/>
    <cellStyle name="Normal 15" xfId="68"/>
    <cellStyle name="Normal 15 2" xfId="624"/>
    <cellStyle name="Normal 15 3" xfId="625"/>
    <cellStyle name="Normal 16" xfId="69"/>
    <cellStyle name="Normal 17" xfId="70"/>
    <cellStyle name="Normal 17 2" xfId="205"/>
    <cellStyle name="Normal 18" xfId="71"/>
    <cellStyle name="Normal 18 2" xfId="202"/>
    <cellStyle name="Normal 19" xfId="72"/>
    <cellStyle name="Normal 2" xfId="73"/>
    <cellStyle name="Normal 2 10" xfId="626"/>
    <cellStyle name="Normal 2 11" xfId="627"/>
    <cellStyle name="Normal 2 2" xfId="74"/>
    <cellStyle name="Normal 2 2 2" xfId="211"/>
    <cellStyle name="Normal 2 2 2 2" xfId="212"/>
    <cellStyle name="Normal 2 2_Orçam_Mantiqueira_rev18" xfId="628"/>
    <cellStyle name="Normal 2 3" xfId="75"/>
    <cellStyle name="Normal 2 4" xfId="76"/>
    <cellStyle name="Normal 2 5" xfId="629"/>
    <cellStyle name="Normal 2 6" xfId="630"/>
    <cellStyle name="Normal 2 7" xfId="631"/>
    <cellStyle name="Normal 2 8" xfId="632"/>
    <cellStyle name="Normal 2 9" xfId="633"/>
    <cellStyle name="Normal 2_2ª Medição" xfId="77"/>
    <cellStyle name="Normal 20" xfId="78"/>
    <cellStyle name="Normal 20 2" xfId="634"/>
    <cellStyle name="Normal 20 3" xfId="635"/>
    <cellStyle name="Normal 21" xfId="204"/>
    <cellStyle name="Normal 3" xfId="79"/>
    <cellStyle name="Normal 3 2" xfId="80"/>
    <cellStyle name="Normal 3 2 2" xfId="81"/>
    <cellStyle name="Normal 3 2 2 2" xfId="82"/>
    <cellStyle name="Normal 3 2 2 2 2" xfId="636"/>
    <cellStyle name="Normal 3 2 2 2 3" xfId="637"/>
    <cellStyle name="Normal 3 2 2 3" xfId="638"/>
    <cellStyle name="Normal 3 2 2 4" xfId="639"/>
    <cellStyle name="Normal 3 2 2_Orçam_Mantiqueira_rev18" xfId="640"/>
    <cellStyle name="Normal 3 2 3" xfId="83"/>
    <cellStyle name="Normal 3 2 3 2" xfId="84"/>
    <cellStyle name="Normal 3 2 3 2 2" xfId="641"/>
    <cellStyle name="Normal 3 2 3 2 3" xfId="642"/>
    <cellStyle name="Normal 3 2 3 3" xfId="643"/>
    <cellStyle name="Normal 3 2 3 4" xfId="644"/>
    <cellStyle name="Normal 3 2 3_ORÇAMENTO REV 04" xfId="645"/>
    <cellStyle name="Normal 3 2_Orçam_Mantiqueira_rev18" xfId="646"/>
    <cellStyle name="Normal 3 3" xfId="85"/>
    <cellStyle name="Normal 3 4" xfId="86"/>
    <cellStyle name="Normal 3 4 2" xfId="87"/>
    <cellStyle name="Normal 3 4 2 2" xfId="647"/>
    <cellStyle name="Normal 3 4 2 3" xfId="648"/>
    <cellStyle name="Normal 3 4 3" xfId="649"/>
    <cellStyle name="Normal 3 4 4" xfId="650"/>
    <cellStyle name="Normal 3 4_ORÇAMENTO REV 04" xfId="651"/>
    <cellStyle name="Normal 3 5" xfId="88"/>
    <cellStyle name="Normal 3 5 2" xfId="89"/>
    <cellStyle name="Normal 3 5 2 2" xfId="213"/>
    <cellStyle name="Normal 3 5 2 2 2" xfId="214"/>
    <cellStyle name="Normal 3 5 2 2 2 2" xfId="652"/>
    <cellStyle name="Normal 3 5 2 2 2 3" xfId="653"/>
    <cellStyle name="Normal 3 5 2 2 3" xfId="215"/>
    <cellStyle name="Normal 3 5 2 2 3 2" xfId="654"/>
    <cellStyle name="Normal 3 5 2 2 3 3" xfId="655"/>
    <cellStyle name="Normal 3 5 2 2 4" xfId="656"/>
    <cellStyle name="Normal 3 5 2 2 5" xfId="657"/>
    <cellStyle name="Normal 3 5 2 3" xfId="216"/>
    <cellStyle name="Normal 3 5 2 3 2" xfId="658"/>
    <cellStyle name="Normal 3 5 2 3 3" xfId="659"/>
    <cellStyle name="Normal 3 5 2 4" xfId="660"/>
    <cellStyle name="Normal 3 5 2 5" xfId="661"/>
    <cellStyle name="Normal 3 5 3" xfId="662"/>
    <cellStyle name="Normal 3 5 4" xfId="663"/>
    <cellStyle name="Normal 3 5_ORÇAMENTO REV 04" xfId="664"/>
    <cellStyle name="Normal 3 6" xfId="90"/>
    <cellStyle name="Normal 3 6 2" xfId="665"/>
    <cellStyle name="Normal 3 6 3" xfId="666"/>
    <cellStyle name="Normal 3 7" xfId="91"/>
    <cellStyle name="Normal 3 7 2" xfId="200"/>
    <cellStyle name="Normal 3 7 2 2" xfId="667"/>
    <cellStyle name="Normal 3 7 2 3" xfId="668"/>
    <cellStyle name="Normal 3 7 3" xfId="669"/>
    <cellStyle name="Normal 3 7 3 2" xfId="670"/>
    <cellStyle name="Normal 3 7 4" xfId="671"/>
    <cellStyle name="Normal 3 8" xfId="672"/>
    <cellStyle name="Normal 3 9" xfId="673"/>
    <cellStyle name="Normal 3_Orçam_Mantiqueira_rev18" xfId="674"/>
    <cellStyle name="Normal 4" xfId="92"/>
    <cellStyle name="Normal 4 2" xfId="93"/>
    <cellStyle name="Normal 4 2 2" xfId="94"/>
    <cellStyle name="Normal 4 2 2 2" xfId="675"/>
    <cellStyle name="Normal 4 2 2 3" xfId="676"/>
    <cellStyle name="Normal 4 2 3" xfId="677"/>
    <cellStyle name="Normal 4 2 4" xfId="678"/>
    <cellStyle name="Normal 4 2_Orçam_Mantiqueira_rev18" xfId="679"/>
    <cellStyle name="Normal 4 3" xfId="95"/>
    <cellStyle name="Normal 4 3 2" xfId="96"/>
    <cellStyle name="Normal 4 3 2 2" xfId="680"/>
    <cellStyle name="Normal 4 3 2 3" xfId="681"/>
    <cellStyle name="Normal 4 3 3" xfId="682"/>
    <cellStyle name="Normal 4 3 4" xfId="683"/>
    <cellStyle name="Normal 4 3_ORÇAMENTO REV 04" xfId="684"/>
    <cellStyle name="Normal 4_Orçam_Mantiqueira_rev18" xfId="685"/>
    <cellStyle name="Normal 5" xfId="97"/>
    <cellStyle name="Normal 5 2" xfId="98"/>
    <cellStyle name="Normal 6" xfId="99"/>
    <cellStyle name="Normal 6 2" xfId="100"/>
    <cellStyle name="Normal 6 3" xfId="101"/>
    <cellStyle name="Normal 7" xfId="102"/>
    <cellStyle name="Normal 7 2" xfId="686"/>
    <cellStyle name="Normal 8" xfId="103"/>
    <cellStyle name="Normal 8 2" xfId="104"/>
    <cellStyle name="Normal 8_ORÇAMENTO REV 04" xfId="687"/>
    <cellStyle name="Normal 9" xfId="105"/>
    <cellStyle name="Normal 9 2" xfId="106"/>
    <cellStyle name="Normal 9_ORÇAMENTO REV 04" xfId="688"/>
    <cellStyle name="Normal_MEDIÇÃO" xfId="107"/>
    <cellStyle name="Normal_MEDICAO JANEIRO2006 2" xfId="108"/>
    <cellStyle name="Normal_QCI- Corinto  2" xfId="271"/>
    <cellStyle name="Normal_QUAN - BARRA DO GUAICUI DRENAGEM" xfId="109"/>
    <cellStyle name="Nota 10" xfId="689"/>
    <cellStyle name="Nota 11" xfId="690"/>
    <cellStyle name="Nota 2" xfId="110"/>
    <cellStyle name="Nota 3" xfId="111"/>
    <cellStyle name="Nota 4" xfId="691"/>
    <cellStyle name="Nota 5" xfId="692"/>
    <cellStyle name="Nota 6" xfId="693"/>
    <cellStyle name="Nota 7" xfId="694"/>
    <cellStyle name="Nota 8" xfId="695"/>
    <cellStyle name="Nota 9" xfId="696"/>
    <cellStyle name="Note" xfId="112"/>
    <cellStyle name="Note 2" xfId="113"/>
    <cellStyle name="Numeração" xfId="114"/>
    <cellStyle name="Output" xfId="115"/>
    <cellStyle name="Percent 2" xfId="116"/>
    <cellStyle name="Porcentagem" xfId="117" builtinId="5"/>
    <cellStyle name="Porcentagem 2" xfId="118"/>
    <cellStyle name="Porcentagem 2 10" xfId="697"/>
    <cellStyle name="Porcentagem 2 11" xfId="698"/>
    <cellStyle name="Porcentagem 2 2" xfId="119"/>
    <cellStyle name="Porcentagem 2 2 2" xfId="120"/>
    <cellStyle name="Porcentagem 2 3" xfId="121"/>
    <cellStyle name="Porcentagem 2 4" xfId="699"/>
    <cellStyle name="Porcentagem 2 5" xfId="700"/>
    <cellStyle name="Porcentagem 2 6" xfId="701"/>
    <cellStyle name="Porcentagem 2 7" xfId="702"/>
    <cellStyle name="Porcentagem 2 8" xfId="703"/>
    <cellStyle name="Porcentagem 2 9" xfId="704"/>
    <cellStyle name="Porcentagem 3" xfId="122"/>
    <cellStyle name="Porcentagem 4" xfId="123"/>
    <cellStyle name="Porcentagem 4 2" xfId="124"/>
    <cellStyle name="Porcentagem 5" xfId="125"/>
    <cellStyle name="Porcentagem 5 2" xfId="217"/>
    <cellStyle name="Porcentagem 5 3" xfId="705"/>
    <cellStyle name="Porcentagem 5 4" xfId="706"/>
    <cellStyle name="Porcentagem 6" xfId="126"/>
    <cellStyle name="Saída" xfId="127" builtinId="21" customBuiltin="1"/>
    <cellStyle name="Saída 10" xfId="707"/>
    <cellStyle name="Saída 11" xfId="708"/>
    <cellStyle name="Saída 2" xfId="128"/>
    <cellStyle name="Saída 3" xfId="129"/>
    <cellStyle name="Saída 4" xfId="218"/>
    <cellStyle name="Saída 5" xfId="709"/>
    <cellStyle name="Saída 6" xfId="710"/>
    <cellStyle name="Saída 7" xfId="711"/>
    <cellStyle name="Saída 8" xfId="712"/>
    <cellStyle name="Saída 9" xfId="713"/>
    <cellStyle name="Separador de milhares" xfId="194" builtinId="3"/>
    <cellStyle name="Separador de milhares 10" xfId="714"/>
    <cellStyle name="Separador de milhares 11" xfId="715"/>
    <cellStyle name="Separador de milhares 2" xfId="130"/>
    <cellStyle name="Separador de milhares 2 10" xfId="716"/>
    <cellStyle name="Separador de milhares 2 10 2" xfId="717"/>
    <cellStyle name="Separador de milhares 2 11" xfId="718"/>
    <cellStyle name="Separador de milhares 2 11 2" xfId="719"/>
    <cellStyle name="Separador de milhares 2 12" xfId="720"/>
    <cellStyle name="Separador de milhares 2 12 2" xfId="721"/>
    <cellStyle name="Separador de milhares 2 2" xfId="131"/>
    <cellStyle name="Separador de milhares 2 2 2" xfId="132"/>
    <cellStyle name="Separador de milhares 2 2 3" xfId="133"/>
    <cellStyle name="Separador de milhares 2 2 3 2" xfId="134"/>
    <cellStyle name="Separador de milhares 2 2 3 2 2" xfId="219"/>
    <cellStyle name="Separador de milhares 2 2 3 2 2 2" xfId="722"/>
    <cellStyle name="Separador de milhares 2 2 3 2 3" xfId="723"/>
    <cellStyle name="Separador de milhares 2 2 4" xfId="135"/>
    <cellStyle name="Separador de milhares 2 2 4 2" xfId="136"/>
    <cellStyle name="Separador de milhares 2 2 4 2 2" xfId="137"/>
    <cellStyle name="Separador de milhares 2 2 4 2 2 2" xfId="220"/>
    <cellStyle name="Separador de milhares 2 2 4 2 2 2 2" xfId="724"/>
    <cellStyle name="Separador de milhares 2 2 4 2 2 3" xfId="725"/>
    <cellStyle name="Separador de milhares 2 2 4 2 3" xfId="221"/>
    <cellStyle name="Separador de milhares 2 2 4 2 3 2" xfId="726"/>
    <cellStyle name="Separador de milhares 2 2 4 3" xfId="138"/>
    <cellStyle name="Separador de milhares 2 2 4 3 2" xfId="222"/>
    <cellStyle name="Separador de milhares 2 2 4 3 2 2" xfId="727"/>
    <cellStyle name="Separador de milhares 2 2 4 3 3" xfId="728"/>
    <cellStyle name="Separador de milhares 2 2 5" xfId="139"/>
    <cellStyle name="Separador de milhares 2 2 5 2" xfId="223"/>
    <cellStyle name="Separador de milhares 2 2 5 2 2" xfId="729"/>
    <cellStyle name="Separador de milhares 2 2 5 3" xfId="730"/>
    <cellStyle name="Separador de milhares 2 3" xfId="140"/>
    <cellStyle name="Separador de milhares 2 3 2" xfId="141"/>
    <cellStyle name="Separador de milhares 2 3 2 2" xfId="142"/>
    <cellStyle name="Separador de milhares 2 3 2 2 2" xfId="224"/>
    <cellStyle name="Separador de milhares 2 3 2 2 2 2" xfId="731"/>
    <cellStyle name="Separador de milhares 2 3 2 2 3" xfId="732"/>
    <cellStyle name="Separador de milhares 2 3 3" xfId="143"/>
    <cellStyle name="Separador de milhares 2 3 3 2" xfId="225"/>
    <cellStyle name="Separador de milhares 2 3 3 2 2" xfId="733"/>
    <cellStyle name="Separador de milhares 2 3 3 3" xfId="734"/>
    <cellStyle name="Separador de milhares 2 4" xfId="144"/>
    <cellStyle name="Separador de milhares 2 4 2" xfId="145"/>
    <cellStyle name="Separador de milhares 2 4 2 2" xfId="226"/>
    <cellStyle name="Separador de milhares 2 4 2 2 2" xfId="735"/>
    <cellStyle name="Separador de milhares 2 4 2 3" xfId="736"/>
    <cellStyle name="Separador de milhares 2 5" xfId="146"/>
    <cellStyle name="Separador de milhares 2 5 2" xfId="227"/>
    <cellStyle name="Separador de milhares 2 5 2 2" xfId="737"/>
    <cellStyle name="Separador de milhares 2 5 3" xfId="738"/>
    <cellStyle name="Separador de milhares 2 6" xfId="739"/>
    <cellStyle name="Separador de milhares 2 6 2" xfId="740"/>
    <cellStyle name="Separador de milhares 2 7" xfId="741"/>
    <cellStyle name="Separador de milhares 2 7 2" xfId="742"/>
    <cellStyle name="Separador de milhares 2 8" xfId="743"/>
    <cellStyle name="Separador de milhares 2 8 2" xfId="744"/>
    <cellStyle name="Separador de milhares 2 9" xfId="745"/>
    <cellStyle name="Separador de milhares 2 9 2" xfId="746"/>
    <cellStyle name="Separador de milhares 3" xfId="147"/>
    <cellStyle name="Separador de milhares 3 2" xfId="148"/>
    <cellStyle name="Separador de milhares 3 2 2" xfId="149"/>
    <cellStyle name="Separador de milhares 3 2 2 2" xfId="228"/>
    <cellStyle name="Separador de milhares 3 2 2 2 2" xfId="747"/>
    <cellStyle name="Separador de milhares 3 2 2 3" xfId="748"/>
    <cellStyle name="Separador de milhares 3 3" xfId="150"/>
    <cellStyle name="Separador de milhares 3 3 2" xfId="151"/>
    <cellStyle name="Separador de milhares 3 3 2 2" xfId="229"/>
    <cellStyle name="Separador de milhares 3 3 2 2 2" xfId="749"/>
    <cellStyle name="Separador de milhares 3 3 2 3" xfId="750"/>
    <cellStyle name="Separador de milhares 3 4" xfId="152"/>
    <cellStyle name="Separador de milhares 3 4 2" xfId="153"/>
    <cellStyle name="Separador de milhares 3 4 2 2" xfId="154"/>
    <cellStyle name="Separador de milhares 3 4 2 2 2" xfId="230"/>
    <cellStyle name="Separador de milhares 3 4 2 2 2 2" xfId="751"/>
    <cellStyle name="Separador de milhares 3 4 2 2 3" xfId="752"/>
    <cellStyle name="Separador de milhares 3 4 2 2 3 2" xfId="753"/>
    <cellStyle name="Separador de milhares 3 4 2 2 3 3" xfId="754"/>
    <cellStyle name="Separador de milhares 3 4 2 2 4" xfId="755"/>
    <cellStyle name="Separador de milhares 3 4 2 2 5" xfId="756"/>
    <cellStyle name="Separador de milhares 3 4 2 3" xfId="231"/>
    <cellStyle name="Separador de milhares 3 4 2 3 2" xfId="757"/>
    <cellStyle name="Separador de milhares 3 4 2 4" xfId="758"/>
    <cellStyle name="Separador de milhares 3 4 2 4 2" xfId="759"/>
    <cellStyle name="Separador de milhares 3 4 2 4 3" xfId="760"/>
    <cellStyle name="Separador de milhares 3 4 2 5" xfId="761"/>
    <cellStyle name="Separador de milhares 3 4 2 6" xfId="762"/>
    <cellStyle name="Separador de milhares 3 4 3" xfId="155"/>
    <cellStyle name="Separador de milhares 3 4 3 2" xfId="232"/>
    <cellStyle name="Separador de milhares 3 4 3 2 2" xfId="763"/>
    <cellStyle name="Separador de milhares 3 4 3 3" xfId="764"/>
    <cellStyle name="Separador de milhares 3 4 3 3 2" xfId="765"/>
    <cellStyle name="Separador de milhares 3 4 3 3 3" xfId="766"/>
    <cellStyle name="Separador de milhares 3 4 3 4" xfId="767"/>
    <cellStyle name="Separador de milhares 3 4 3 5" xfId="768"/>
    <cellStyle name="Separador de milhares 3 4 4" xfId="233"/>
    <cellStyle name="Separador de milhares 3 4 4 2" xfId="769"/>
    <cellStyle name="Separador de milhares 3 4 5" xfId="770"/>
    <cellStyle name="Separador de milhares 3 4 5 2" xfId="771"/>
    <cellStyle name="Separador de milhares 3 4 5 3" xfId="772"/>
    <cellStyle name="Separador de milhares 3 4 6" xfId="773"/>
    <cellStyle name="Separador de milhares 3 4 7" xfId="774"/>
    <cellStyle name="Separador de milhares 3 5" xfId="156"/>
    <cellStyle name="Separador de milhares 3 5 2" xfId="234"/>
    <cellStyle name="Separador de milhares 3 5 2 2" xfId="775"/>
    <cellStyle name="Separador de milhares 3 5 3" xfId="776"/>
    <cellStyle name="Separador de milhares 4" xfId="157"/>
    <cellStyle name="Separador de milhares 4 2" xfId="158"/>
    <cellStyle name="Separador de milhares 4 2 2" xfId="159"/>
    <cellStyle name="Separador de milhares 4 2 2 2" xfId="235"/>
    <cellStyle name="Separador de milhares 4 2 2 2 2" xfId="777"/>
    <cellStyle name="Separador de milhares 4 2 2 3" xfId="778"/>
    <cellStyle name="Separador de milhares 4 3" xfId="160"/>
    <cellStyle name="Separador de milhares 4 3 2" xfId="161"/>
    <cellStyle name="Separador de milhares 4 3 2 2" xfId="236"/>
    <cellStyle name="Separador de milhares 4 3 2 2 2" xfId="779"/>
    <cellStyle name="Separador de milhares 4 3 2 3" xfId="780"/>
    <cellStyle name="Separador de milhares 4 4" xfId="162"/>
    <cellStyle name="Separador de milhares 4 4 2" xfId="237"/>
    <cellStyle name="Separador de milhares 4 4 2 2" xfId="781"/>
    <cellStyle name="Separador de milhares 4 4 3" xfId="782"/>
    <cellStyle name="Separador de milhares 5" xfId="163"/>
    <cellStyle name="Separador de milhares 5 2" xfId="164"/>
    <cellStyle name="Separador de milhares 5 2 2" xfId="165"/>
    <cellStyle name="Separador de milhares 5 2 2 2" xfId="238"/>
    <cellStyle name="Separador de milhares 5 2 2 2 2" xfId="783"/>
    <cellStyle name="Separador de milhares 5 2 2 3" xfId="784"/>
    <cellStyle name="Separador de milhares 5 3" xfId="166"/>
    <cellStyle name="Separador de milhares 5 3 2" xfId="239"/>
    <cellStyle name="Separador de milhares 5 3 2 2" xfId="785"/>
    <cellStyle name="Separador de milhares 5 3 3" xfId="786"/>
    <cellStyle name="Separador de milhares 6" xfId="167"/>
    <cellStyle name="Separador de milhares 6 2" xfId="168"/>
    <cellStyle name="Separador de milhares 6 2 2" xfId="169"/>
    <cellStyle name="Separador de milhares 6 2 2 2" xfId="170"/>
    <cellStyle name="Separador de milhares 6 2 2 2 2" xfId="240"/>
    <cellStyle name="Separador de milhares 6 2 2 2 2 2" xfId="787"/>
    <cellStyle name="Separador de milhares 6 2 2 2 3" xfId="788"/>
    <cellStyle name="Separador de milhares 6 2 2 3" xfId="241"/>
    <cellStyle name="Separador de milhares 6 2 2 3 2" xfId="789"/>
    <cellStyle name="Separador de milhares 6 2 2 4" xfId="790"/>
    <cellStyle name="Separador de milhares 6 2 3" xfId="171"/>
    <cellStyle name="Separador de milhares 6 2 3 2" xfId="242"/>
    <cellStyle name="Separador de milhares 6 2 3 2 2" xfId="791"/>
    <cellStyle name="Separador de milhares 6 2 3 3" xfId="792"/>
    <cellStyle name="Separador de milhares 6 2 4" xfId="243"/>
    <cellStyle name="Separador de milhares 6 2 4 2" xfId="793"/>
    <cellStyle name="Separador de milhares 6 2 5" xfId="794"/>
    <cellStyle name="Separador de milhares 6 3" xfId="172"/>
    <cellStyle name="Separador de milhares 6 3 2" xfId="173"/>
    <cellStyle name="Separador de milhares 6 3 2 2" xfId="244"/>
    <cellStyle name="Separador de milhares 6 3 2 2 2" xfId="795"/>
    <cellStyle name="Separador de milhares 6 3 2 3" xfId="796"/>
    <cellStyle name="Separador de milhares 6 3 3" xfId="245"/>
    <cellStyle name="Separador de milhares 6 3 3 2" xfId="797"/>
    <cellStyle name="Separador de milhares 6 3 4" xfId="798"/>
    <cellStyle name="Separador de milhares 6 4" xfId="174"/>
    <cellStyle name="Separador de milhares 6 4 2" xfId="246"/>
    <cellStyle name="Separador de milhares 6 4 2 2" xfId="799"/>
    <cellStyle name="Separador de milhares 6 4 3" xfId="800"/>
    <cellStyle name="Separador de milhares 6 5" xfId="247"/>
    <cellStyle name="Separador de milhares 6 5 2" xfId="801"/>
    <cellStyle name="Separador de milhares 6 6" xfId="802"/>
    <cellStyle name="Separador de milhares 7" xfId="175"/>
    <cellStyle name="Separador de milhares 7 2" xfId="176"/>
    <cellStyle name="Separador de milhares 7 2 2" xfId="177"/>
    <cellStyle name="Separador de milhares 7 2 2 2" xfId="248"/>
    <cellStyle name="Separador de milhares 7 2 2 2 2" xfId="803"/>
    <cellStyle name="Separador de milhares 7 2 2 3" xfId="804"/>
    <cellStyle name="Separador de milhares 7 3" xfId="178"/>
    <cellStyle name="Separador de milhares 7 3 2" xfId="249"/>
    <cellStyle name="Separador de milhares 7 3 2 2" xfId="805"/>
    <cellStyle name="Separador de milhares 7 3 3" xfId="806"/>
    <cellStyle name="Separador de milhares 7_Orçam_Mantiqueira_rev18" xfId="807"/>
    <cellStyle name="Separador de milhares 8" xfId="179"/>
    <cellStyle name="Separador de milhares 8 2" xfId="808"/>
    <cellStyle name="Separador de milhares 8 2 2" xfId="809"/>
    <cellStyle name="Separador de milhares 8 3" xfId="810"/>
    <cellStyle name="Separador de milhares 9" xfId="180"/>
    <cellStyle name="Separador de milhares 9 2" xfId="811"/>
    <cellStyle name="Texto de Aviso 10" xfId="812"/>
    <cellStyle name="Texto de Aviso 11" xfId="813"/>
    <cellStyle name="Texto de Aviso 2" xfId="181"/>
    <cellStyle name="Texto de Aviso 3" xfId="182"/>
    <cellStyle name="Texto de Aviso 4" xfId="814"/>
    <cellStyle name="Texto de Aviso 5" xfId="815"/>
    <cellStyle name="Texto de Aviso 6" xfId="816"/>
    <cellStyle name="Texto de Aviso 7" xfId="817"/>
    <cellStyle name="Texto de Aviso 8" xfId="818"/>
    <cellStyle name="Texto de Aviso 9" xfId="819"/>
    <cellStyle name="Texto Explicativo" xfId="183" builtinId="53" customBuiltin="1"/>
    <cellStyle name="Texto Explicativo 10" xfId="820"/>
    <cellStyle name="Texto Explicativo 11" xfId="821"/>
    <cellStyle name="Texto Explicativo 2" xfId="184"/>
    <cellStyle name="Texto Explicativo 3" xfId="185"/>
    <cellStyle name="Texto Explicativo 4" xfId="250"/>
    <cellStyle name="Texto Explicativo 5" xfId="822"/>
    <cellStyle name="Texto Explicativo 6" xfId="823"/>
    <cellStyle name="Texto Explicativo 7" xfId="824"/>
    <cellStyle name="Texto Explicativo 8" xfId="825"/>
    <cellStyle name="Texto Explicativo 9" xfId="826"/>
    <cellStyle name="Title" xfId="186"/>
    <cellStyle name="Título" xfId="187" builtinId="15" customBuiltin="1"/>
    <cellStyle name="Título 1 10" xfId="827"/>
    <cellStyle name="Título 1 11" xfId="828"/>
    <cellStyle name="Título 1 2" xfId="829"/>
    <cellStyle name="Título 1 3" xfId="830"/>
    <cellStyle name="Título 1 4" xfId="831"/>
    <cellStyle name="Título 1 5" xfId="832"/>
    <cellStyle name="Título 1 6" xfId="833"/>
    <cellStyle name="Título 1 7" xfId="834"/>
    <cellStyle name="Título 1 8" xfId="835"/>
    <cellStyle name="Título 1 9" xfId="836"/>
    <cellStyle name="Título 10" xfId="837"/>
    <cellStyle name="Título 11" xfId="838"/>
    <cellStyle name="Título 12" xfId="839"/>
    <cellStyle name="Título 13" xfId="840"/>
    <cellStyle name="Título 14" xfId="841"/>
    <cellStyle name="Título 2 10" xfId="842"/>
    <cellStyle name="Título 2 11" xfId="843"/>
    <cellStyle name="Título 2 2" xfId="844"/>
    <cellStyle name="Título 2 3" xfId="845"/>
    <cellStyle name="Título 2 4" xfId="846"/>
    <cellStyle name="Título 2 5" xfId="847"/>
    <cellStyle name="Título 2 6" xfId="848"/>
    <cellStyle name="Título 2 7" xfId="849"/>
    <cellStyle name="Título 2 8" xfId="850"/>
    <cellStyle name="Título 2 9" xfId="851"/>
    <cellStyle name="Título 3 10" xfId="852"/>
    <cellStyle name="Título 3 11" xfId="853"/>
    <cellStyle name="Título 3 2" xfId="854"/>
    <cellStyle name="Título 3 3" xfId="855"/>
    <cellStyle name="Título 3 4" xfId="856"/>
    <cellStyle name="Título 3 5" xfId="857"/>
    <cellStyle name="Título 3 6" xfId="858"/>
    <cellStyle name="Título 3 7" xfId="859"/>
    <cellStyle name="Título 3 8" xfId="860"/>
    <cellStyle name="Título 3 9" xfId="861"/>
    <cellStyle name="Título 4 10" xfId="862"/>
    <cellStyle name="Título 4 11" xfId="863"/>
    <cellStyle name="Título 4 2" xfId="864"/>
    <cellStyle name="Título 4 3" xfId="865"/>
    <cellStyle name="Título 4 4" xfId="866"/>
    <cellStyle name="Título 4 5" xfId="867"/>
    <cellStyle name="Título 4 6" xfId="868"/>
    <cellStyle name="Título 4 7" xfId="869"/>
    <cellStyle name="Título 4 8" xfId="870"/>
    <cellStyle name="Título 4 9" xfId="871"/>
    <cellStyle name="Título 5" xfId="188"/>
    <cellStyle name="Título 5 10" xfId="872"/>
    <cellStyle name="Título 5 11" xfId="873"/>
    <cellStyle name="Título 5 2" xfId="874"/>
    <cellStyle name="Título 5 2 2" xfId="875"/>
    <cellStyle name="Título 5 3" xfId="876"/>
    <cellStyle name="Título 5 4" xfId="877"/>
    <cellStyle name="Título 5 5" xfId="878"/>
    <cellStyle name="Título 5 6" xfId="879"/>
    <cellStyle name="Título 5 7" xfId="880"/>
    <cellStyle name="Título 5 8" xfId="881"/>
    <cellStyle name="Título 5 9" xfId="882"/>
    <cellStyle name="Título 5_Orçam_Mantiqueira_rev18" xfId="883"/>
    <cellStyle name="Título 6" xfId="189"/>
    <cellStyle name="Título 7" xfId="251"/>
    <cellStyle name="Título 8" xfId="884"/>
    <cellStyle name="Título 9" xfId="885"/>
    <cellStyle name="Totais" xfId="190"/>
    <cellStyle name="Total" xfId="191" builtinId="25" customBuiltin="1"/>
    <cellStyle name="Total 10" xfId="886"/>
    <cellStyle name="Total 11" xfId="887"/>
    <cellStyle name="Total 2" xfId="192"/>
    <cellStyle name="Total 3" xfId="193"/>
    <cellStyle name="Total 4" xfId="252"/>
    <cellStyle name="Total 5" xfId="888"/>
    <cellStyle name="Total 6" xfId="889"/>
    <cellStyle name="Total 7" xfId="890"/>
    <cellStyle name="Total 8" xfId="891"/>
    <cellStyle name="Total 9" xfId="892"/>
    <cellStyle name="Vírgula 2" xfId="195"/>
    <cellStyle name="Vírgula 2 2" xfId="196"/>
    <cellStyle name="Vírgula 2 2 2" xfId="253"/>
    <cellStyle name="Vírgula 2 2 2 2" xfId="893"/>
    <cellStyle name="Vírgula 2 2 3" xfId="894"/>
    <cellStyle name="Vírgula 2 3" xfId="201"/>
    <cellStyle name="Vírgula 2 3 2" xfId="254"/>
    <cellStyle name="Vírgula 2 3 2 2" xfId="895"/>
    <cellStyle name="Vírgula 2 4" xfId="255"/>
    <cellStyle name="Vírgula 2 4 2" xfId="896"/>
    <cellStyle name="Vírgula 3" xfId="197"/>
    <cellStyle name="Vírgula 3 2" xfId="256"/>
    <cellStyle name="Vírgula 3 2 2" xfId="257"/>
    <cellStyle name="Vírgula 3 2 2 2" xfId="258"/>
    <cellStyle name="Vírgula 3 2 2 2 2" xfId="897"/>
    <cellStyle name="Vírgula 3 2 2 3" xfId="898"/>
    <cellStyle name="Vírgula 3 3" xfId="259"/>
    <cellStyle name="Vírgula 3 3 2" xfId="260"/>
    <cellStyle name="Vírgula 3 3 2 2" xfId="899"/>
    <cellStyle name="Vírgula 3 3 3" xfId="900"/>
    <cellStyle name="Vírgula 3 4" xfId="901"/>
    <cellStyle name="Vírgula 4" xfId="198"/>
    <cellStyle name="Vírgula 4 2" xfId="203"/>
    <cellStyle name="Vírgula 4 2 2" xfId="902"/>
    <cellStyle name="Vírgula 5" xfId="261"/>
    <cellStyle name="Vírgula 5 2" xfId="262"/>
    <cellStyle name="Vírgula 5 2 2" xfId="903"/>
    <cellStyle name="Vírgula 5 3" xfId="904"/>
    <cellStyle name="Vírgula 6" xfId="263"/>
    <cellStyle name="Vírgula 6 2" xfId="264"/>
    <cellStyle name="Vírgula 6 2 2" xfId="905"/>
    <cellStyle name="Vírgula 7" xfId="265"/>
    <cellStyle name="Vírgula 7 2" xfId="266"/>
    <cellStyle name="Vírgula 7 2 2" xfId="906"/>
    <cellStyle name="Vírgula 8" xfId="267"/>
    <cellStyle name="Vírgula 8 2" xfId="268"/>
    <cellStyle name="Vírgula 8 2 2" xfId="907"/>
    <cellStyle name="Vírgula 9" xfId="269"/>
    <cellStyle name="Vírgula 9 2" xfId="270"/>
    <cellStyle name="Vírgula 9 2 2" xfId="908"/>
    <cellStyle name="Warning Text" xfId="199"/>
  </cellStyles>
  <dxfs count="425">
    <dxf>
      <font>
        <b/>
        <i val="0"/>
      </font>
    </dxf>
    <dxf>
      <font>
        <b/>
        <i val="0"/>
      </font>
    </dxf>
    <dxf>
      <font>
        <b/>
        <i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FF66"/>
        </patternFill>
      </fill>
    </dxf>
    <dxf>
      <fill>
        <patternFill>
          <bgColor rgb="FFFFFFCC"/>
        </patternFill>
      </fill>
    </dxf>
    <dxf>
      <font>
        <b/>
        <i val="0"/>
      </font>
    </dxf>
    <dxf>
      <font>
        <b/>
        <i val="0"/>
      </font>
    </dxf>
    <dxf>
      <font>
        <b/>
        <i val="0"/>
      </font>
    </dxf>
    <dxf>
      <fill>
        <patternFill>
          <bgColor rgb="FFFFFF66"/>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137432</xdr:colOff>
      <xdr:row>116</xdr:row>
      <xdr:rowOff>163286</xdr:rowOff>
    </xdr:from>
    <xdr:to>
      <xdr:col>8</xdr:col>
      <xdr:colOff>1401535</xdr:colOff>
      <xdr:row>120</xdr:row>
      <xdr:rowOff>13608</xdr:rowOff>
    </xdr:to>
    <xdr:sp macro="" textlink="">
      <xdr:nvSpPr>
        <xdr:cNvPr id="3" name="Text Box 7"/>
        <xdr:cNvSpPr txBox="1">
          <a:spLocks noChangeArrowheads="1"/>
        </xdr:cNvSpPr>
      </xdr:nvSpPr>
      <xdr:spPr bwMode="auto">
        <a:xfrm>
          <a:off x="246289" y="43556465"/>
          <a:ext cx="15034532" cy="612322"/>
        </a:xfrm>
        <a:prstGeom prst="rect">
          <a:avLst/>
        </a:prstGeom>
        <a:noFill/>
        <a:ln w="9525">
          <a:noFill/>
          <a:miter lim="800000"/>
          <a:headEnd/>
          <a:tailEnd/>
        </a:ln>
      </xdr:spPr>
      <xdr:txBody>
        <a:bodyPr vertOverflow="clip" wrap="square" lIns="27432" tIns="22860" rIns="27432" bIns="0" anchor="t" upright="1"/>
        <a:lstStyle/>
        <a:p>
          <a:pPr algn="ctr" rtl="0">
            <a:defRPr sz="1000"/>
          </a:pPr>
          <a:r>
            <a:rPr lang="pt-BR" sz="1200" b="0" i="0" u="none" strike="noStrike" baseline="0">
              <a:solidFill>
                <a:srgbClr val="000000"/>
              </a:solidFill>
              <a:latin typeface="Arial"/>
              <a:cs typeface="Arial"/>
            </a:rPr>
            <a:t>SECRETARIA DE ESTADO DE GOVERNO - SEGOV - MG</a:t>
          </a:r>
        </a:p>
        <a:p>
          <a:pPr algn="ctr" rtl="0">
            <a:defRPr sz="1000"/>
          </a:pPr>
          <a:r>
            <a:rPr lang="pt-BR" sz="1200" b="0" i="0" u="none" strike="noStrike" baseline="0">
              <a:solidFill>
                <a:srgbClr val="000000"/>
              </a:solidFill>
              <a:latin typeface="Arial"/>
              <a:cs typeface="Arial"/>
            </a:rPr>
            <a:t>SUBSECRETARIA DE ASSUNTOS MUNICIPAIS - SUBSEAM - MG</a:t>
          </a:r>
        </a:p>
        <a:p>
          <a:pPr algn="ctr" rtl="0">
            <a:defRPr sz="1000"/>
          </a:pPr>
          <a:r>
            <a:rPr lang="pt-BR" sz="1200" b="1" i="0" u="none" strike="noStrike" baseline="0">
              <a:solidFill>
                <a:srgbClr val="000000"/>
              </a:solidFill>
              <a:latin typeface="Arial"/>
              <a:cs typeface="Arial"/>
            </a:rPr>
            <a:t>www.governo.mg.gov.br  - Fone: (31) 3915-0055 / 0054 / 005</a:t>
          </a:r>
          <a:r>
            <a:rPr lang="pt-BR" sz="1200" b="1" i="0" u="none" strike="noStrike" baseline="0">
              <a:solidFill>
                <a:srgbClr val="000000"/>
              </a:solidFill>
              <a:latin typeface="Arial"/>
              <a:ea typeface="+mn-ea"/>
              <a:cs typeface="Arial"/>
            </a:rPr>
            <a:t>3</a:t>
          </a:r>
        </a:p>
      </xdr:txBody>
    </xdr:sp>
    <xdr:clientData/>
  </xdr:twoCellAnchor>
  <xdr:twoCellAnchor>
    <xdr:from>
      <xdr:col>2</xdr:col>
      <xdr:colOff>530678</xdr:colOff>
      <xdr:row>0</xdr:row>
      <xdr:rowOff>190500</xdr:rowOff>
    </xdr:from>
    <xdr:to>
      <xdr:col>3</xdr:col>
      <xdr:colOff>3129643</xdr:colOff>
      <xdr:row>0</xdr:row>
      <xdr:rowOff>1170213</xdr:rowOff>
    </xdr:to>
    <xdr:sp macro="" textlink="">
      <xdr:nvSpPr>
        <xdr:cNvPr id="4" name="Text Box 6"/>
        <xdr:cNvSpPr txBox="1">
          <a:spLocks noChangeArrowheads="1"/>
        </xdr:cNvSpPr>
      </xdr:nvSpPr>
      <xdr:spPr bwMode="auto">
        <a:xfrm>
          <a:off x="1673678" y="190500"/>
          <a:ext cx="4163786" cy="979713"/>
        </a:xfrm>
        <a:prstGeom prst="rect">
          <a:avLst/>
        </a:prstGeom>
        <a:noFill/>
        <a:ln w="9525">
          <a:noFill/>
          <a:miter lim="800000"/>
          <a:headEnd/>
          <a:tailEnd/>
        </a:ln>
      </xdr:spPr>
      <xdr:txBody>
        <a:bodyPr vertOverflow="clip" wrap="square" lIns="27432" tIns="22860" rIns="0" bIns="0" anchor="t" upright="1"/>
        <a:lstStyle/>
        <a:p>
          <a:pPr algn="l" rtl="0">
            <a:defRPr sz="1000"/>
          </a:pPr>
          <a:endParaRPr lang="pt-BR" sz="1400" b="0" i="0" u="none" strike="noStrike" baseline="0">
            <a:solidFill>
              <a:srgbClr val="000000"/>
            </a:solidFill>
            <a:latin typeface="Arial"/>
            <a:cs typeface="Arial"/>
          </a:endParaRPr>
        </a:p>
      </xdr:txBody>
    </xdr:sp>
    <xdr:clientData/>
  </xdr:twoCellAnchor>
  <xdr:twoCellAnchor>
    <xdr:from>
      <xdr:col>8</xdr:col>
      <xdr:colOff>95250</xdr:colOff>
      <xdr:row>0</xdr:row>
      <xdr:rowOff>68036</xdr:rowOff>
    </xdr:from>
    <xdr:to>
      <xdr:col>8</xdr:col>
      <xdr:colOff>1088572</xdr:colOff>
      <xdr:row>0</xdr:row>
      <xdr:rowOff>1159599</xdr:rowOff>
    </xdr:to>
    <xdr:pic>
      <xdr:nvPicPr>
        <xdr:cNvPr id="5"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933714" y="68036"/>
          <a:ext cx="993322" cy="1091563"/>
        </a:xfrm>
        <a:prstGeom prst="rect">
          <a:avLst/>
        </a:prstGeom>
        <a:blipFill dpi="0" rotWithShape="0">
          <a:blip xmlns:r="http://schemas.openxmlformats.org/officeDocument/2006/relationships"/>
          <a:srcRect/>
          <a:stretch>
            <a:fillRect/>
          </a:stretch>
        </a:blip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119754</xdr:colOff>
      <xdr:row>0</xdr:row>
      <xdr:rowOff>227237</xdr:rowOff>
    </xdr:from>
    <xdr:to>
      <xdr:col>3</xdr:col>
      <xdr:colOff>174050</xdr:colOff>
      <xdr:row>0</xdr:row>
      <xdr:rowOff>993319</xdr:rowOff>
    </xdr:to>
    <xdr:pic>
      <xdr:nvPicPr>
        <xdr:cNvPr id="6" name="Imagem 5" descr="Logotipo Conepp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8611" y="227237"/>
          <a:ext cx="2653260" cy="7660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112057</xdr:colOff>
      <xdr:row>310</xdr:row>
      <xdr:rowOff>22412</xdr:rowOff>
    </xdr:from>
    <xdr:to>
      <xdr:col>10</xdr:col>
      <xdr:colOff>0</xdr:colOff>
      <xdr:row>312</xdr:row>
      <xdr:rowOff>89647</xdr:rowOff>
    </xdr:to>
    <xdr:sp macro="" textlink="">
      <xdr:nvSpPr>
        <xdr:cNvPr id="4" name="Text Box 7"/>
        <xdr:cNvSpPr txBox="1">
          <a:spLocks noChangeArrowheads="1"/>
        </xdr:cNvSpPr>
      </xdr:nvSpPr>
      <xdr:spPr bwMode="auto">
        <a:xfrm>
          <a:off x="336175" y="93132088"/>
          <a:ext cx="10421472" cy="582706"/>
        </a:xfrm>
        <a:prstGeom prst="rect">
          <a:avLst/>
        </a:prstGeom>
        <a:noFill/>
        <a:ln w="9525">
          <a:noFill/>
          <a:miter lim="800000"/>
          <a:headEnd/>
          <a:tailEnd/>
        </a:ln>
      </xdr:spPr>
      <xdr:txBody>
        <a:bodyPr vertOverflow="clip" wrap="square" lIns="27432" tIns="22860" rIns="27432" bIns="0" anchor="t" upright="1"/>
        <a:lstStyle/>
        <a:p>
          <a:pPr algn="ctr" rtl="0">
            <a:defRPr sz="1000"/>
          </a:pPr>
          <a:r>
            <a:rPr lang="pt-BR" sz="1200" b="0" i="0" u="none" strike="noStrike" baseline="0">
              <a:solidFill>
                <a:srgbClr val="000000"/>
              </a:solidFill>
              <a:latin typeface="Arial"/>
              <a:cs typeface="Arial"/>
            </a:rPr>
            <a:t>SECRETARIA DE ESTADO DE GOVERNO - SEGOV - MG</a:t>
          </a:r>
        </a:p>
        <a:p>
          <a:pPr algn="ctr" rtl="0">
            <a:defRPr sz="1000"/>
          </a:pPr>
          <a:r>
            <a:rPr lang="pt-BR" sz="1200" b="0" i="0" u="none" strike="noStrike" baseline="0">
              <a:solidFill>
                <a:srgbClr val="000000"/>
              </a:solidFill>
              <a:latin typeface="Arial"/>
              <a:cs typeface="Arial"/>
            </a:rPr>
            <a:t>SUBSECRETARIA DE ASSUNTOS MUNICIPAIS - SUBSEAM - MG</a:t>
          </a:r>
        </a:p>
        <a:p>
          <a:pPr algn="ctr" rtl="0">
            <a:defRPr sz="1000"/>
          </a:pPr>
          <a:r>
            <a:rPr lang="pt-BR" sz="1200" b="1" i="0" u="none" strike="noStrike" baseline="0">
              <a:solidFill>
                <a:srgbClr val="000000"/>
              </a:solidFill>
              <a:latin typeface="Arial"/>
              <a:cs typeface="Arial"/>
            </a:rPr>
            <a:t>www.governo.mg.gov.br  - Fone: (31) 3915-0055 / 0054 / 005</a:t>
          </a:r>
          <a:r>
            <a:rPr lang="pt-BR" sz="1200" b="1" i="0" u="none" strike="noStrike" baseline="0">
              <a:solidFill>
                <a:srgbClr val="000000"/>
              </a:solidFill>
              <a:latin typeface="Arial"/>
              <a:ea typeface="+mn-ea"/>
              <a:cs typeface="Arial"/>
            </a:rPr>
            <a:t>3</a:t>
          </a:r>
        </a:p>
      </xdr:txBody>
    </xdr:sp>
    <xdr:clientData/>
  </xdr:twoCellAnchor>
  <xdr:twoCellAnchor>
    <xdr:from>
      <xdr:col>9</xdr:col>
      <xdr:colOff>220424</xdr:colOff>
      <xdr:row>1</xdr:row>
      <xdr:rowOff>27214</xdr:rowOff>
    </xdr:from>
    <xdr:to>
      <xdr:col>9</xdr:col>
      <xdr:colOff>1213746</xdr:colOff>
      <xdr:row>1</xdr:row>
      <xdr:rowOff>1118777</xdr:rowOff>
    </xdr:to>
    <xdr:pic>
      <xdr:nvPicPr>
        <xdr:cNvPr id="5"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554924" y="204107"/>
          <a:ext cx="993322" cy="1091563"/>
        </a:xfrm>
        <a:prstGeom prst="rect">
          <a:avLst/>
        </a:prstGeom>
        <a:blipFill dpi="0" rotWithShape="0">
          <a:blip xmlns:r="http://schemas.openxmlformats.org/officeDocument/2006/relationships"/>
          <a:srcRect/>
          <a:stretch>
            <a:fillRect/>
          </a:stretch>
        </a:blip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0</xdr:colOff>
      <xdr:row>1</xdr:row>
      <xdr:rowOff>159201</xdr:rowOff>
    </xdr:from>
    <xdr:to>
      <xdr:col>4</xdr:col>
      <xdr:colOff>81510</xdr:colOff>
      <xdr:row>1</xdr:row>
      <xdr:rowOff>925283</xdr:rowOff>
    </xdr:to>
    <xdr:pic>
      <xdr:nvPicPr>
        <xdr:cNvPr id="6" name="Imagem 5" descr="Logotipo Conepp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26571" y="336094"/>
          <a:ext cx="2653260" cy="7660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40</xdr:row>
      <xdr:rowOff>76200</xdr:rowOff>
    </xdr:from>
    <xdr:to>
      <xdr:col>11</xdr:col>
      <xdr:colOff>825500</xdr:colOff>
      <xdr:row>43</xdr:row>
      <xdr:rowOff>101600</xdr:rowOff>
    </xdr:to>
    <xdr:sp macro="" textlink="">
      <xdr:nvSpPr>
        <xdr:cNvPr id="3" name="Text Box 7"/>
        <xdr:cNvSpPr txBox="1">
          <a:spLocks noChangeArrowheads="1"/>
        </xdr:cNvSpPr>
      </xdr:nvSpPr>
      <xdr:spPr bwMode="auto">
        <a:xfrm>
          <a:off x="0" y="8067675"/>
          <a:ext cx="11655425" cy="4921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pt-BR" sz="800" b="0" i="0" u="none" strike="noStrike" baseline="0">
              <a:solidFill>
                <a:srgbClr val="000000"/>
              </a:solidFill>
              <a:latin typeface="Arial"/>
              <a:cs typeface="Arial"/>
            </a:rPr>
            <a:t>SECRETARIA DE ESTADO DE GOVERNO - SEGOV - MG</a:t>
          </a:r>
        </a:p>
        <a:p>
          <a:pPr algn="ctr" rtl="0">
            <a:defRPr sz="1000"/>
          </a:pPr>
          <a:r>
            <a:rPr lang="pt-BR" sz="800" b="0" i="0" u="none" strike="noStrike" baseline="0">
              <a:solidFill>
                <a:srgbClr val="000000"/>
              </a:solidFill>
              <a:latin typeface="Arial"/>
              <a:cs typeface="Arial"/>
            </a:rPr>
            <a:t>SUBSECRETARIA DE ASSUNTOS MUNICIPAIS - SUBSEAM - MG</a:t>
          </a:r>
        </a:p>
        <a:p>
          <a:pPr algn="ctr" rtl="0">
            <a:defRPr sz="1000"/>
          </a:pPr>
          <a:r>
            <a:rPr lang="pt-BR" sz="800" b="1" i="0" u="none" strike="noStrike" baseline="0">
              <a:solidFill>
                <a:srgbClr val="000000"/>
              </a:solidFill>
              <a:latin typeface="Arial"/>
              <a:cs typeface="Arial"/>
            </a:rPr>
            <a:t>www.governo.mg.gov.br  - Fone: (31) 3915-0055 / 0054 / 005</a:t>
          </a:r>
          <a:r>
            <a:rPr lang="pt-BR" sz="800" b="1" i="0" u="none" strike="noStrike" baseline="0">
              <a:solidFill>
                <a:srgbClr val="000000"/>
              </a:solidFill>
              <a:latin typeface="Arial"/>
              <a:ea typeface="+mn-ea"/>
              <a:cs typeface="Arial"/>
            </a:rPr>
            <a:t>3</a:t>
          </a:r>
        </a:p>
      </xdr:txBody>
    </xdr:sp>
    <xdr:clientData/>
  </xdr:twoCellAnchor>
  <xdr:twoCellAnchor>
    <xdr:from>
      <xdr:col>11</xdr:col>
      <xdr:colOff>217703</xdr:colOff>
      <xdr:row>1</xdr:row>
      <xdr:rowOff>38100</xdr:rowOff>
    </xdr:from>
    <xdr:to>
      <xdr:col>11</xdr:col>
      <xdr:colOff>800100</xdr:colOff>
      <xdr:row>1</xdr:row>
      <xdr:rowOff>678097</xdr:rowOff>
    </xdr:to>
    <xdr:pic>
      <xdr:nvPicPr>
        <xdr:cNvPr id="5"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152403" y="209550"/>
          <a:ext cx="582397" cy="639997"/>
        </a:xfrm>
        <a:prstGeom prst="rect">
          <a:avLst/>
        </a:prstGeom>
        <a:blipFill dpi="0" rotWithShape="0">
          <a:blip xmlns:r="http://schemas.openxmlformats.org/officeDocument/2006/relationships"/>
          <a:srcRect/>
          <a:stretch>
            <a:fillRect/>
          </a:stretch>
        </a:blip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95250</xdr:colOff>
      <xdr:row>1</xdr:row>
      <xdr:rowOff>25851</xdr:rowOff>
    </xdr:from>
    <xdr:to>
      <xdr:col>3</xdr:col>
      <xdr:colOff>914400</xdr:colOff>
      <xdr:row>1</xdr:row>
      <xdr:rowOff>663892</xdr:rowOff>
    </xdr:to>
    <xdr:pic>
      <xdr:nvPicPr>
        <xdr:cNvPr id="6" name="Imagem 5" descr="Logotipo Conepp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8600" y="197301"/>
          <a:ext cx="2209800" cy="63804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803057</xdr:colOff>
      <xdr:row>2</xdr:row>
      <xdr:rowOff>173183</xdr:rowOff>
    </xdr:from>
    <xdr:to>
      <xdr:col>8</xdr:col>
      <xdr:colOff>705333</xdr:colOff>
      <xdr:row>4</xdr:row>
      <xdr:rowOff>572017</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124693" y="502228"/>
          <a:ext cx="993322" cy="1091562"/>
        </a:xfrm>
        <a:prstGeom prst="rect">
          <a:avLst/>
        </a:prstGeom>
        <a:blipFill dpi="0" rotWithShape="0">
          <a:blip xmlns:r="http://schemas.openxmlformats.org/officeDocument/2006/relationships"/>
          <a:srcRect/>
          <a:stretch>
            <a:fillRect/>
          </a:stretch>
        </a:blip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138545</xdr:colOff>
      <xdr:row>3</xdr:row>
      <xdr:rowOff>72608</xdr:rowOff>
    </xdr:from>
    <xdr:to>
      <xdr:col>3</xdr:col>
      <xdr:colOff>1683441</xdr:colOff>
      <xdr:row>4</xdr:row>
      <xdr:rowOff>353781</xdr:rowOff>
    </xdr:to>
    <xdr:pic>
      <xdr:nvPicPr>
        <xdr:cNvPr id="5" name="Imagem 4" descr="Logotipo Conepp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32954" y="609472"/>
          <a:ext cx="2653260" cy="7660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127648</xdr:colOff>
      <xdr:row>1</xdr:row>
      <xdr:rowOff>329046</xdr:rowOff>
    </xdr:from>
    <xdr:to>
      <xdr:col>14</xdr:col>
      <xdr:colOff>1120970</xdr:colOff>
      <xdr:row>1</xdr:row>
      <xdr:rowOff>1420609</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4328557" y="484910"/>
          <a:ext cx="993322" cy="1091563"/>
        </a:xfrm>
        <a:prstGeom prst="rect">
          <a:avLst/>
        </a:prstGeom>
        <a:blipFill dpi="0" rotWithShape="0">
          <a:blip xmlns:r="http://schemas.openxmlformats.org/officeDocument/2006/relationships"/>
          <a:srcRect/>
          <a:stretch>
            <a:fillRect/>
          </a:stretch>
        </a:blip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155863</xdr:colOff>
      <xdr:row>1</xdr:row>
      <xdr:rowOff>488247</xdr:rowOff>
    </xdr:from>
    <xdr:to>
      <xdr:col>6</xdr:col>
      <xdr:colOff>3578</xdr:colOff>
      <xdr:row>1</xdr:row>
      <xdr:rowOff>1254329</xdr:rowOff>
    </xdr:to>
    <xdr:pic>
      <xdr:nvPicPr>
        <xdr:cNvPr id="5" name="Imagem 4" descr="Logotipo Conepp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623454" y="644111"/>
          <a:ext cx="2653260" cy="7660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75694</xdr:colOff>
      <xdr:row>1</xdr:row>
      <xdr:rowOff>138546</xdr:rowOff>
    </xdr:from>
    <xdr:to>
      <xdr:col>15</xdr:col>
      <xdr:colOff>1069016</xdr:colOff>
      <xdr:row>1</xdr:row>
      <xdr:rowOff>1230109</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6129649" y="398319"/>
          <a:ext cx="993322" cy="1091563"/>
        </a:xfrm>
        <a:prstGeom prst="rect">
          <a:avLst/>
        </a:prstGeom>
        <a:blipFill dpi="0" rotWithShape="0">
          <a:blip xmlns:r="http://schemas.openxmlformats.org/officeDocument/2006/relationships"/>
          <a:srcRect/>
          <a:stretch>
            <a:fillRect/>
          </a:stretch>
        </a:blip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311728</xdr:colOff>
      <xdr:row>1</xdr:row>
      <xdr:rowOff>297747</xdr:rowOff>
    </xdr:from>
    <xdr:to>
      <xdr:col>5</xdr:col>
      <xdr:colOff>748261</xdr:colOff>
      <xdr:row>1</xdr:row>
      <xdr:rowOff>1063829</xdr:rowOff>
    </xdr:to>
    <xdr:pic>
      <xdr:nvPicPr>
        <xdr:cNvPr id="5" name="Imagem 4" descr="Logotipo Conepp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424546" y="557520"/>
          <a:ext cx="2653260" cy="7660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ceiro\c\Meus%20documentos\Obras%20da%20Construtora%20Visor\Or&#231;amentos\Ds32\Meus%20documentos\Outros\Meus%20documentos%20Visor\Prefeituras\Pref%20Mun%20Campo%20Belo\Museu%20Campo%20Belo\Planilha%20Museu%20Revis&#227;o%20Mai-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ercial/CGOM/ASS/REQUIS~1/2009/014-RI~1/RIOPEQ~1/Rio%20Pequeno_Serpen/MC-R14%20Rev0-Rio%20Pequeno%20(05_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tos/Users/user/Desktop/Obra%20Juven&#237;lia/dvec/ORG&#195;OS%20EXTERNOS/CODEVASF%20-%20FEDERAL/VARZELANDIA%20-%20SES%202012.02/VARZELANDIA%20-%20FINAL%20COMPLET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Desktop/Obra%20Juven&#237;lia/dvec/ORG&#195;OS%20EXTERNOS/CODEVASF%20-%20FEDERAL/VARZELANDIA%20-%20SES%202012.02/VARZELANDIA%20-%20FINAL%20COMPLE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tos/BICOS/Diversos/Paraty-%20REV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20Jacare/Bacia%20Jacarepagu&#225;%20TRABALHO/Andrade/Mem&#243;ria%20de%20c&#225;lculo%20caixa%20de%20deten&#231;&#227;o%20Rio%20Viegas%20Trecho%2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tos/2%20PADRONIZA&#199;&#195;O/PLANILHAS%20-%20MEM&#211;RIAS%20DE%20C&#193;LCULO/Mem&#243;ria%20de%20C&#225;lculo%20Drenage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4%20OR&#199;AMENTO/MEM&#211;RIAS%20DE%20C&#193;LCULO/Modelo%20Escopo%20Or&#231;am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epp01\servidor\Secretaria%20de%20Obras\Planilhas\Pra&#231;a%20CAT%20e%20IS\Levant%20reforma%20Pra&#231;a%20CAT%20-%20I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4%20OR&#199;AMENTO/MEM&#211;RIAS%20DE%20C&#193;LCULO/OR&#199;AMENTO%20PADR&#195;O%20DEOP%20-%20OB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ercial/DIMENSIONAL/ARQUIVOS%20DE%20TRABALHO/COMPERJ%20OR&#199;AMENTO_REV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vitaliz%20pra&#231;a%20-%20reforma%20Pra&#231;a%20CAT%20-%20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forma%20Pra&#231;a%20CAT%20-%20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mopor02\secretaria%20de%20obras\Secretaria%20de%20Obras\Planilhas\Pra&#231;a%20CAT%20e%20IS\Levant%20reforma%20Pra&#231;a%20CAT%20-%20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ecretaria%20de%20Obras\AA%20Secretaria%202009\Planilhas%202009\Banco%20de%20Alimentos\Levant%20Gruta%20Rei%20do%20Mato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MUSEU Rev Jul-00"/>
      <sheetName val="BDI"/>
      <sheetName val="PLMUSEU Rev Mai-00 (Med)"/>
      <sheetName val="QUANTMU"/>
      <sheetName val="PLMUSEU"/>
      <sheetName val="Cálculo"/>
      <sheetName val="PLMUSEU (3)"/>
      <sheetName val="Planilha Apresent"/>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PASAXSINAPI_COMPLETO"/>
      <sheetName val="COPASAXSINAPI_ENXUTO"/>
      <sheetName val="SINAPI"/>
      <sheetName val="SERVICOS ESPECIFICOS"/>
      <sheetName val="FINAL AMARELO"/>
      <sheetName val="FINAL"/>
      <sheetName val="ABC"/>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PASAXSINAPI_COMPLETO"/>
      <sheetName val="COPASAXSINAPI_ENXUTO"/>
      <sheetName val="SINAPI"/>
      <sheetName val="SERVICOS ESPECIFICOS"/>
      <sheetName val="FINAL AMARELO"/>
      <sheetName val="FINAL"/>
      <sheetName val="ABC"/>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renagem"/>
      <sheetName val="Critérios adotados drenagem"/>
      <sheetName val="Memória de drenagem"/>
    </sheetNames>
    <sheetDataSet>
      <sheetData sheetId="0"/>
      <sheetData sheetId="1">
        <row r="7">
          <cell r="Q7" t="str">
            <v>DN (mm)</v>
          </cell>
          <cell r="R7" t="str">
            <v>BERÇO DE CONCRETO (m³/m)</v>
          </cell>
          <cell r="S7" t="str">
            <v>FORMA (m²/m)</v>
          </cell>
        </row>
      </sheetData>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rçamento"/>
      <sheetName val="Mem. quant."/>
      <sheetName val="Corte e Aterro"/>
      <sheetName val="Drenagem"/>
      <sheetName val="CPU"/>
      <sheetName val="Cotação"/>
      <sheetName val="Infor. cotações"/>
      <sheetName val="BDI Serviços e Materiais"/>
      <sheetName val="QCI "/>
      <sheetName val="Cronograma"/>
      <sheetName val="Croqui bota-fora"/>
      <sheetName val="Critérios adotados drenagem"/>
    </sheetNames>
    <sheetDataSet>
      <sheetData sheetId="0">
        <row r="9">
          <cell r="K9" t="str">
            <v>MUNICÍPIO: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 val="_file____C__Meus_20documentos_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Orçamento"/>
      <sheetName val="Mem. quant."/>
      <sheetName val="Mem. corte"/>
      <sheetName val="CPU"/>
      <sheetName val="Mapa cotações"/>
      <sheetName val="QCI"/>
      <sheetName val="Cronograma"/>
      <sheetName val="BDI Serviços e Materiais"/>
      <sheetName val="Croqui bota fora"/>
      <sheetName val="Croqui jazida"/>
    </sheetNames>
    <sheetDataSet>
      <sheetData sheetId="0" refreshError="1">
        <row r="6">
          <cell r="O6" t="str">
            <v>BDI SERVIÇOS: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DOS COLETATO"/>
      <sheetName val="MEMORIAL DESCRITIVO"/>
      <sheetName val="CAUCULO"/>
      <sheetName val="Gráfico"/>
      <sheetName val="Plan1"/>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rutura"/>
      <sheetName val="Levant"/>
      <sheetName val="Fundação"/>
      <sheetName val="Levant CAT"/>
      <sheetName val="Levant (2)"/>
      <sheetName val="Revitaliz CAT"/>
      <sheetName val="Cronograma"/>
      <sheetName val="Elet-Banh"/>
      <sheetName val="Hidrosan Banh"/>
      <sheetName val="Inc Banh"/>
      <sheetName val="Hidrosan CAT"/>
      <sheetName val="Crono Pl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undação"/>
      <sheetName val="Estrutura"/>
      <sheetName val="Levant"/>
      <sheetName val="Gruta Rei Mato"/>
      <sheetName val="Cronograma"/>
      <sheetName val="Eletrica"/>
      <sheetName val="Hidros"/>
      <sheetName val="Incendio"/>
      <sheetName val="_file____C__Meus_20documentos_S"/>
    </sheetNames>
    <sheetDataSet>
      <sheetData sheetId="0"/>
      <sheetData sheetId="1"/>
      <sheetData sheetId="2"/>
      <sheetData sheetId="3"/>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Plan1">
    <tabColor rgb="FF0070C0"/>
    <pageSetUpPr fitToPage="1"/>
  </sheetPr>
  <dimension ref="B1:Q121"/>
  <sheetViews>
    <sheetView showGridLines="0" tabSelected="1" view="pageBreakPreview" topLeftCell="A97" zoomScale="70" zoomScaleSheetLayoutView="70" workbookViewId="0">
      <selection activeCell="H8" sqref="H8"/>
    </sheetView>
  </sheetViews>
  <sheetFormatPr defaultColWidth="11.42578125" defaultRowHeight="12.75"/>
  <cols>
    <col min="1" max="1" width="1.7109375" style="1" customWidth="1"/>
    <col min="2" max="2" width="15.5703125" style="1" customWidth="1"/>
    <col min="3" max="3" width="23.42578125" style="1" customWidth="1"/>
    <col min="4" max="4" width="80.28515625" style="1" customWidth="1"/>
    <col min="5" max="5" width="20" style="1" customWidth="1"/>
    <col min="6" max="6" width="23" style="2" customWidth="1"/>
    <col min="7" max="8" width="21.85546875" style="1" customWidth="1"/>
    <col min="9" max="9" width="22.140625" style="3" customWidth="1"/>
    <col min="10" max="10" width="1.85546875" style="1" customWidth="1"/>
    <col min="11" max="11" width="18.140625" style="1" hidden="1" customWidth="1"/>
    <col min="12" max="12" width="11.42578125" style="1"/>
    <col min="13" max="13" width="15.140625" style="1" bestFit="1" customWidth="1"/>
    <col min="14" max="16384" width="11.42578125" style="1"/>
  </cols>
  <sheetData>
    <row r="1" spans="2:17" ht="94.5" customHeight="1">
      <c r="M1" s="1" t="s">
        <v>734</v>
      </c>
    </row>
    <row r="2" spans="2:17" ht="54" customHeight="1">
      <c r="B2" s="602" t="s">
        <v>485</v>
      </c>
      <c r="C2" s="603"/>
      <c r="D2" s="603"/>
      <c r="E2" s="603"/>
      <c r="F2" s="603"/>
      <c r="G2" s="603"/>
      <c r="H2" s="603"/>
      <c r="I2" s="604"/>
      <c r="K2" s="373" t="s">
        <v>469</v>
      </c>
    </row>
    <row r="3" spans="2:17" ht="12" customHeight="1" thickBot="1">
      <c r="B3" s="467"/>
      <c r="C3" s="467"/>
      <c r="D3" s="467"/>
      <c r="E3" s="467"/>
      <c r="F3" s="467"/>
      <c r="G3" s="467"/>
      <c r="H3" s="467"/>
      <c r="I3" s="467"/>
      <c r="K3" s="373"/>
    </row>
    <row r="4" spans="2:17" ht="24.95" customHeight="1">
      <c r="B4" s="614" t="s">
        <v>761</v>
      </c>
      <c r="C4" s="615"/>
      <c r="D4" s="615"/>
      <c r="E4" s="616"/>
      <c r="F4" s="613" t="s">
        <v>495</v>
      </c>
      <c r="G4" s="613"/>
      <c r="H4" s="613"/>
      <c r="I4" s="613"/>
      <c r="M4" s="590" t="s">
        <v>214</v>
      </c>
      <c r="N4" s="591"/>
      <c r="O4" s="591"/>
      <c r="P4" s="591"/>
      <c r="Q4" s="592"/>
    </row>
    <row r="5" spans="2:17" ht="24.95" customHeight="1">
      <c r="B5" s="614" t="s">
        <v>738</v>
      </c>
      <c r="C5" s="615"/>
      <c r="D5" s="615"/>
      <c r="E5" s="616"/>
      <c r="F5" s="613" t="s">
        <v>783</v>
      </c>
      <c r="G5" s="613"/>
      <c r="H5" s="613"/>
      <c r="I5" s="613"/>
      <c r="M5" s="593" t="s">
        <v>312</v>
      </c>
      <c r="N5" s="594"/>
      <c r="O5" s="594"/>
      <c r="P5" s="594"/>
      <c r="Q5" s="595"/>
    </row>
    <row r="6" spans="2:17" ht="24.95" customHeight="1">
      <c r="B6" s="614" t="s">
        <v>768</v>
      </c>
      <c r="C6" s="615"/>
      <c r="D6" s="615"/>
      <c r="E6" s="616"/>
      <c r="F6" s="609" t="s">
        <v>494</v>
      </c>
      <c r="G6" s="610"/>
      <c r="H6" s="610"/>
      <c r="I6" s="611"/>
      <c r="M6" s="593" t="s">
        <v>314</v>
      </c>
      <c r="N6" s="594"/>
      <c r="O6" s="594"/>
      <c r="P6" s="594"/>
      <c r="Q6" s="595"/>
    </row>
    <row r="7" spans="2:17" ht="24.95" customHeight="1">
      <c r="B7" s="614" t="s">
        <v>735</v>
      </c>
      <c r="C7" s="615"/>
      <c r="D7" s="615"/>
      <c r="E7" s="616"/>
      <c r="F7" s="605" t="s">
        <v>493</v>
      </c>
      <c r="G7" s="607" t="s">
        <v>492</v>
      </c>
      <c r="H7" s="612" t="s">
        <v>349</v>
      </c>
      <c r="I7" s="612"/>
      <c r="M7" s="593" t="s">
        <v>316</v>
      </c>
      <c r="N7" s="594"/>
      <c r="O7" s="594"/>
      <c r="P7" s="594"/>
      <c r="Q7" s="595"/>
    </row>
    <row r="8" spans="2:17" ht="24.95" customHeight="1" thickBot="1">
      <c r="B8" s="614" t="s">
        <v>736</v>
      </c>
      <c r="C8" s="615"/>
      <c r="D8" s="615"/>
      <c r="E8" s="616"/>
      <c r="F8" s="606"/>
      <c r="G8" s="608"/>
      <c r="H8" s="469" t="s">
        <v>737</v>
      </c>
      <c r="I8" s="470">
        <f>BDI!P4</f>
        <v>0.24229999999999999</v>
      </c>
      <c r="M8" s="596" t="s">
        <v>347</v>
      </c>
      <c r="N8" s="597"/>
      <c r="O8" s="597"/>
      <c r="P8" s="597"/>
      <c r="Q8" s="598"/>
    </row>
    <row r="9" spans="2:17" ht="12" customHeight="1">
      <c r="B9" s="467"/>
      <c r="C9" s="467"/>
      <c r="D9" s="467"/>
      <c r="E9" s="467"/>
      <c r="F9" s="471"/>
      <c r="G9" s="471"/>
      <c r="H9" s="467"/>
      <c r="I9" s="467"/>
      <c r="K9" s="373"/>
    </row>
    <row r="10" spans="2:17" s="316" customFormat="1" ht="35.1" customHeight="1">
      <c r="B10" s="317" t="s">
        <v>3</v>
      </c>
      <c r="C10" s="317" t="s">
        <v>0</v>
      </c>
      <c r="D10" s="317" t="s">
        <v>2</v>
      </c>
      <c r="E10" s="317" t="s">
        <v>348</v>
      </c>
      <c r="F10" s="318" t="s">
        <v>351</v>
      </c>
      <c r="G10" s="318" t="s">
        <v>490</v>
      </c>
      <c r="H10" s="318" t="s">
        <v>489</v>
      </c>
      <c r="I10" s="319" t="s">
        <v>488</v>
      </c>
    </row>
    <row r="11" spans="2:17" ht="23.1" customHeight="1">
      <c r="B11" s="415">
        <v>1</v>
      </c>
      <c r="C11" s="416"/>
      <c r="D11" s="417" t="s">
        <v>496</v>
      </c>
      <c r="E11" s="418"/>
      <c r="F11" s="419"/>
      <c r="G11" s="418"/>
      <c r="H11" s="418"/>
      <c r="I11" s="420">
        <f>SUBTOTAL(9,I12:I24)</f>
        <v>99250.69</v>
      </c>
      <c r="M11" s="306">
        <f>I11/I106</f>
        <v>1.8643266585054875E-2</v>
      </c>
    </row>
    <row r="12" spans="2:17" ht="35.25" customHeight="1">
      <c r="B12" s="274" t="s">
        <v>17</v>
      </c>
      <c r="C12" s="5" t="s">
        <v>497</v>
      </c>
      <c r="D12" s="402" t="s">
        <v>498</v>
      </c>
      <c r="E12" s="5" t="s">
        <v>318</v>
      </c>
      <c r="F12" s="99">
        <f>ROUND(VLOOKUP(B12,Quant.!C:J,8,0),2)</f>
        <v>8</v>
      </c>
      <c r="G12" s="94">
        <v>1789.96</v>
      </c>
      <c r="H12" s="94">
        <f t="shared" ref="H12:H24" si="0">ROUND(G12*(1+$I$8),2)</f>
        <v>2223.67</v>
      </c>
      <c r="I12" s="275">
        <f t="shared" ref="I12:I24" si="1">ROUND(F12*H12,2)</f>
        <v>17789.36</v>
      </c>
      <c r="K12" s="1">
        <f t="shared" ref="K12:K24" si="2">G12*F12</f>
        <v>14319.68</v>
      </c>
    </row>
    <row r="13" spans="2:17" ht="23.1" customHeight="1">
      <c r="B13" s="274" t="s">
        <v>18</v>
      </c>
      <c r="C13" s="5" t="s">
        <v>499</v>
      </c>
      <c r="D13" s="304" t="s">
        <v>313</v>
      </c>
      <c r="E13" s="5" t="s">
        <v>318</v>
      </c>
      <c r="F13" s="99">
        <f>ROUND(VLOOKUP(B13,Quant.!C:J,8,0),2)</f>
        <v>4</v>
      </c>
      <c r="G13" s="94">
        <v>680</v>
      </c>
      <c r="H13" s="94">
        <f t="shared" si="0"/>
        <v>844.76</v>
      </c>
      <c r="I13" s="275">
        <f t="shared" si="1"/>
        <v>3379.04</v>
      </c>
      <c r="K13" s="1">
        <f t="shared" si="2"/>
        <v>2720</v>
      </c>
    </row>
    <row r="14" spans="2:17" ht="47.25" customHeight="1">
      <c r="B14" s="274" t="s">
        <v>19</v>
      </c>
      <c r="C14" s="5" t="s">
        <v>500</v>
      </c>
      <c r="D14" s="304" t="s">
        <v>501</v>
      </c>
      <c r="E14" s="5" t="s">
        <v>319</v>
      </c>
      <c r="F14" s="99">
        <f>ROUND(VLOOKUP(B14,Quant.!C:J,8,0),2)</f>
        <v>1</v>
      </c>
      <c r="G14" s="94">
        <v>5359.85</v>
      </c>
      <c r="H14" s="94">
        <f t="shared" si="0"/>
        <v>6658.54</v>
      </c>
      <c r="I14" s="275">
        <f t="shared" si="1"/>
        <v>6658.54</v>
      </c>
      <c r="K14" s="1">
        <f t="shared" si="2"/>
        <v>5359.85</v>
      </c>
    </row>
    <row r="15" spans="2:17" ht="33.75" customHeight="1">
      <c r="B15" s="274" t="s">
        <v>20</v>
      </c>
      <c r="C15" s="5" t="s">
        <v>502</v>
      </c>
      <c r="D15" s="304" t="s">
        <v>503</v>
      </c>
      <c r="E15" s="5" t="s">
        <v>319</v>
      </c>
      <c r="F15" s="99">
        <f>ROUND(VLOOKUP(B15,Quant.!C:J,8,0),2)</f>
        <v>1</v>
      </c>
      <c r="G15" s="94">
        <v>6533.82</v>
      </c>
      <c r="H15" s="94">
        <f t="shared" si="0"/>
        <v>8116.96</v>
      </c>
      <c r="I15" s="275">
        <f t="shared" si="1"/>
        <v>8116.96</v>
      </c>
      <c r="K15" s="1">
        <f t="shared" si="2"/>
        <v>6533.82</v>
      </c>
    </row>
    <row r="16" spans="2:17" ht="33.75" customHeight="1">
      <c r="B16" s="274" t="s">
        <v>21</v>
      </c>
      <c r="C16" s="5" t="s">
        <v>504</v>
      </c>
      <c r="D16" s="304" t="s">
        <v>505</v>
      </c>
      <c r="E16" s="5" t="s">
        <v>319</v>
      </c>
      <c r="F16" s="99">
        <f>ROUND(VLOOKUP(B16,Quant.!C:J,8,0),2)</f>
        <v>1</v>
      </c>
      <c r="G16" s="94">
        <v>7501.17</v>
      </c>
      <c r="H16" s="94">
        <f t="shared" si="0"/>
        <v>9318.7000000000007</v>
      </c>
      <c r="I16" s="275">
        <f t="shared" si="1"/>
        <v>9318.7000000000007</v>
      </c>
      <c r="K16" s="1">
        <f t="shared" si="2"/>
        <v>7501.17</v>
      </c>
    </row>
    <row r="17" spans="2:13" ht="114.75" customHeight="1">
      <c r="B17" s="274" t="s">
        <v>22</v>
      </c>
      <c r="C17" s="5" t="s">
        <v>506</v>
      </c>
      <c r="D17" s="402" t="s">
        <v>507</v>
      </c>
      <c r="E17" s="5" t="s">
        <v>319</v>
      </c>
      <c r="F17" s="99">
        <f>ROUND(VLOOKUP(B17,Quant.!C:J,8,0),2)</f>
        <v>1</v>
      </c>
      <c r="G17" s="94">
        <v>1611.03</v>
      </c>
      <c r="H17" s="94">
        <f t="shared" si="0"/>
        <v>2001.38</v>
      </c>
      <c r="I17" s="275">
        <f t="shared" si="1"/>
        <v>2001.38</v>
      </c>
      <c r="K17" s="1">
        <f t="shared" si="2"/>
        <v>1611.03</v>
      </c>
    </row>
    <row r="18" spans="2:13" ht="23.1" customHeight="1">
      <c r="B18" s="274" t="s">
        <v>23</v>
      </c>
      <c r="C18" s="260" t="s">
        <v>508</v>
      </c>
      <c r="D18" s="304" t="s">
        <v>509</v>
      </c>
      <c r="E18" s="5" t="s">
        <v>319</v>
      </c>
      <c r="F18" s="99">
        <f>ROUND(VLOOKUP(B18,Quant.!C:J,8,0),2)</f>
        <v>150</v>
      </c>
      <c r="G18" s="94">
        <v>36.270000000000003</v>
      </c>
      <c r="H18" s="94">
        <f t="shared" si="0"/>
        <v>45.06</v>
      </c>
      <c r="I18" s="275">
        <f t="shared" si="1"/>
        <v>6759</v>
      </c>
      <c r="K18" s="1">
        <f t="shared" si="2"/>
        <v>5440.5000000000009</v>
      </c>
    </row>
    <row r="19" spans="2:13" ht="23.1" customHeight="1">
      <c r="B19" s="274" t="s">
        <v>52</v>
      </c>
      <c r="C19" s="5" t="s">
        <v>510</v>
      </c>
      <c r="D19" s="304" t="s">
        <v>511</v>
      </c>
      <c r="E19" s="5" t="s">
        <v>322</v>
      </c>
      <c r="F19" s="99">
        <f>ROUND(VLOOKUP(B19,Quant.!C:J,8,0),2)</f>
        <v>400</v>
      </c>
      <c r="G19" s="94">
        <v>2.5</v>
      </c>
      <c r="H19" s="94">
        <f t="shared" si="0"/>
        <v>3.11</v>
      </c>
      <c r="I19" s="275">
        <f t="shared" si="1"/>
        <v>1244</v>
      </c>
      <c r="K19" s="1">
        <f t="shared" si="2"/>
        <v>1000</v>
      </c>
    </row>
    <row r="20" spans="2:13" ht="23.1" customHeight="1">
      <c r="B20" s="274" t="s">
        <v>53</v>
      </c>
      <c r="C20" s="5" t="s">
        <v>512</v>
      </c>
      <c r="D20" s="304" t="s">
        <v>513</v>
      </c>
      <c r="E20" s="5" t="s">
        <v>319</v>
      </c>
      <c r="F20" s="99">
        <f>ROUND(VLOOKUP(B20,Quant.!C:J,8,0),2)</f>
        <v>1</v>
      </c>
      <c r="G20" s="94">
        <v>517.9</v>
      </c>
      <c r="H20" s="94">
        <f t="shared" si="0"/>
        <v>643.39</v>
      </c>
      <c r="I20" s="275">
        <f t="shared" si="1"/>
        <v>643.39</v>
      </c>
      <c r="K20" s="1">
        <f t="shared" si="2"/>
        <v>517.9</v>
      </c>
    </row>
    <row r="21" spans="2:13" ht="23.1" customHeight="1">
      <c r="B21" s="274" t="s">
        <v>54</v>
      </c>
      <c r="C21" s="5" t="s">
        <v>514</v>
      </c>
      <c r="D21" s="304" t="s">
        <v>515</v>
      </c>
      <c r="E21" s="5" t="s">
        <v>319</v>
      </c>
      <c r="F21" s="99">
        <f>ROUND(VLOOKUP(B21,Quant.!C:J,8,0),2)</f>
        <v>1</v>
      </c>
      <c r="G21" s="94">
        <v>211.63</v>
      </c>
      <c r="H21" s="94">
        <f t="shared" si="0"/>
        <v>262.91000000000003</v>
      </c>
      <c r="I21" s="275">
        <f t="shared" si="1"/>
        <v>262.91000000000003</v>
      </c>
      <c r="K21" s="1">
        <f t="shared" si="2"/>
        <v>211.63</v>
      </c>
    </row>
    <row r="22" spans="2:13" ht="23.1" customHeight="1">
      <c r="B22" s="274" t="s">
        <v>402</v>
      </c>
      <c r="C22" s="5" t="s">
        <v>514</v>
      </c>
      <c r="D22" s="304" t="s">
        <v>516</v>
      </c>
      <c r="E22" s="5" t="s">
        <v>319</v>
      </c>
      <c r="F22" s="99">
        <f>ROUND(VLOOKUP(B22,Quant.!C:J,8,0),2)</f>
        <v>1</v>
      </c>
      <c r="G22" s="94">
        <v>211.63</v>
      </c>
      <c r="H22" s="94">
        <f t="shared" si="0"/>
        <v>262.91000000000003</v>
      </c>
      <c r="I22" s="275">
        <f t="shared" si="1"/>
        <v>262.91000000000003</v>
      </c>
      <c r="K22" s="1">
        <f t="shared" si="2"/>
        <v>211.63</v>
      </c>
    </row>
    <row r="23" spans="2:13" ht="23.1" customHeight="1">
      <c r="B23" s="274" t="s">
        <v>403</v>
      </c>
      <c r="C23" s="260" t="s">
        <v>517</v>
      </c>
      <c r="D23" s="304" t="s">
        <v>518</v>
      </c>
      <c r="E23" s="5" t="s">
        <v>322</v>
      </c>
      <c r="F23" s="99">
        <f>ROUND(VLOOKUP(B23,Quant.!C:J,8,0),2)</f>
        <v>86</v>
      </c>
      <c r="G23" s="94">
        <v>133.30000000000001</v>
      </c>
      <c r="H23" s="94">
        <f t="shared" si="0"/>
        <v>165.6</v>
      </c>
      <c r="I23" s="275">
        <f t="shared" si="1"/>
        <v>14241.6</v>
      </c>
      <c r="K23" s="1">
        <f t="shared" si="2"/>
        <v>11463.800000000001</v>
      </c>
    </row>
    <row r="24" spans="2:13" ht="35.1" customHeight="1">
      <c r="B24" s="274" t="s">
        <v>406</v>
      </c>
      <c r="C24" s="260" t="s">
        <v>404</v>
      </c>
      <c r="D24" s="304" t="s">
        <v>405</v>
      </c>
      <c r="E24" s="5" t="s">
        <v>319</v>
      </c>
      <c r="F24" s="99">
        <f>ROUND(VLOOKUP(B24,Quant.!C:J,8,0),2)</f>
        <v>1</v>
      </c>
      <c r="G24" s="94">
        <v>23000</v>
      </c>
      <c r="H24" s="94">
        <f t="shared" si="0"/>
        <v>28572.9</v>
      </c>
      <c r="I24" s="275">
        <f t="shared" si="1"/>
        <v>28572.9</v>
      </c>
      <c r="K24" s="1">
        <f t="shared" si="2"/>
        <v>23000</v>
      </c>
      <c r="M24" s="306">
        <f>I24/I106</f>
        <v>5.3671384229985143E-3</v>
      </c>
    </row>
    <row r="25" spans="2:13" ht="23.1" customHeight="1">
      <c r="B25" s="274"/>
      <c r="C25" s="392"/>
      <c r="D25" s="391"/>
      <c r="E25" s="390"/>
      <c r="F25" s="99"/>
      <c r="G25" s="393"/>
      <c r="H25" s="94"/>
      <c r="I25" s="394"/>
      <c r="M25" s="306"/>
    </row>
    <row r="26" spans="2:13" ht="23.1" customHeight="1">
      <c r="B26" s="421">
        <v>2</v>
      </c>
      <c r="C26" s="422"/>
      <c r="D26" s="417" t="s">
        <v>519</v>
      </c>
      <c r="E26" s="390"/>
      <c r="F26" s="423"/>
      <c r="G26" s="390"/>
      <c r="H26" s="5"/>
      <c r="I26" s="424">
        <f>SUBTOTAL(9,I27:I27)</f>
        <v>266518.48</v>
      </c>
      <c r="K26" s="1">
        <f>G26*F26</f>
        <v>0</v>
      </c>
      <c r="M26" s="306">
        <f>I26/I106</f>
        <v>5.0062876867491959E-2</v>
      </c>
    </row>
    <row r="27" spans="2:13" ht="23.1" customHeight="1">
      <c r="B27" s="274" t="s">
        <v>56</v>
      </c>
      <c r="C27" s="5" t="s">
        <v>676</v>
      </c>
      <c r="D27" s="402" t="s">
        <v>520</v>
      </c>
      <c r="E27" s="5" t="s">
        <v>318</v>
      </c>
      <c r="F27" s="99">
        <f>ROUND(VLOOKUP(B27,Quant.!C:J,8,0),2)</f>
        <v>4</v>
      </c>
      <c r="G27" s="94">
        <f>ADM!I61</f>
        <v>53634.079426210061</v>
      </c>
      <c r="H27" s="94">
        <f>ROUND(G27*(1+$I$8),2)</f>
        <v>66629.62</v>
      </c>
      <c r="I27" s="275">
        <f>ROUND(F27*H27,2)</f>
        <v>266518.48</v>
      </c>
      <c r="K27" s="1">
        <f>G27*F27</f>
        <v>214536.31770484024</v>
      </c>
    </row>
    <row r="28" spans="2:13" ht="23.1" customHeight="1">
      <c r="B28" s="274"/>
      <c r="C28" s="390"/>
      <c r="D28" s="395"/>
      <c r="E28" s="396"/>
      <c r="F28" s="397"/>
      <c r="G28" s="398"/>
      <c r="H28" s="399"/>
      <c r="I28" s="400"/>
    </row>
    <row r="29" spans="2:13" ht="20.25" customHeight="1">
      <c r="B29" s="421">
        <v>3</v>
      </c>
      <c r="C29" s="422"/>
      <c r="D29" s="417" t="s">
        <v>521</v>
      </c>
      <c r="E29" s="396"/>
      <c r="F29" s="419"/>
      <c r="G29" s="396"/>
      <c r="H29" s="418"/>
      <c r="I29" s="425">
        <f>SUBTOTAL(9,I30:I30)</f>
        <v>100295.63</v>
      </c>
      <c r="K29" s="1">
        <f>G29*F29</f>
        <v>0</v>
      </c>
    </row>
    <row r="30" spans="2:13" ht="23.1" customHeight="1">
      <c r="B30" s="274" t="s">
        <v>442</v>
      </c>
      <c r="C30" s="5" t="s">
        <v>523</v>
      </c>
      <c r="D30" s="402" t="s">
        <v>524</v>
      </c>
      <c r="E30" s="5" t="s">
        <v>525</v>
      </c>
      <c r="F30" s="99">
        <f>ROUND(VLOOKUP(B30,Quant.!C:J,8,0),2)</f>
        <v>1091</v>
      </c>
      <c r="G30" s="94">
        <v>74</v>
      </c>
      <c r="H30" s="94">
        <f>ROUND(G30*(1+$I$8),2)</f>
        <v>91.93</v>
      </c>
      <c r="I30" s="275">
        <f>ROUND(F30*H30,2)</f>
        <v>100295.63</v>
      </c>
      <c r="K30" s="1">
        <f>G30*F30</f>
        <v>80734</v>
      </c>
    </row>
    <row r="31" spans="2:13" ht="23.1" customHeight="1">
      <c r="B31" s="274"/>
      <c r="C31" s="390"/>
      <c r="D31" s="395"/>
      <c r="E31" s="396"/>
      <c r="F31" s="397"/>
      <c r="G31" s="398"/>
      <c r="H31" s="399"/>
      <c r="I31" s="400"/>
    </row>
    <row r="32" spans="2:13" ht="21.75" customHeight="1">
      <c r="B32" s="421">
        <v>4</v>
      </c>
      <c r="C32" s="422"/>
      <c r="D32" s="417" t="s">
        <v>522</v>
      </c>
      <c r="E32" s="390"/>
      <c r="F32" s="423"/>
      <c r="G32" s="390"/>
      <c r="H32" s="5"/>
      <c r="I32" s="424">
        <f>SUBTOTAL(9,I33:I39)</f>
        <v>1296296.2</v>
      </c>
      <c r="K32" s="1">
        <f t="shared" ref="K32:K62" si="3">G32*F32</f>
        <v>0</v>
      </c>
    </row>
    <row r="33" spans="2:13" ht="35.1" customHeight="1">
      <c r="B33" s="274" t="s">
        <v>55</v>
      </c>
      <c r="C33" s="5" t="s">
        <v>526</v>
      </c>
      <c r="D33" s="303" t="s">
        <v>527</v>
      </c>
      <c r="E33" s="5" t="s">
        <v>317</v>
      </c>
      <c r="F33" s="99">
        <f>ROUND(VLOOKUP(B33,Quant.!C:J,8,0),2)</f>
        <v>19254</v>
      </c>
      <c r="G33" s="94">
        <v>0.27</v>
      </c>
      <c r="H33" s="94">
        <f t="shared" ref="H33:H39" si="4">ROUND(G33*(1+$I$8),2)</f>
        <v>0.34</v>
      </c>
      <c r="I33" s="275">
        <f t="shared" ref="I33:I39" si="5">ROUND(F33*H33,2)</f>
        <v>6546.36</v>
      </c>
      <c r="K33" s="1">
        <f t="shared" si="3"/>
        <v>5198.58</v>
      </c>
    </row>
    <row r="34" spans="2:13" ht="50.1" customHeight="1">
      <c r="B34" s="274" t="s">
        <v>443</v>
      </c>
      <c r="C34" s="5" t="s">
        <v>671</v>
      </c>
      <c r="D34" s="303" t="s">
        <v>323</v>
      </c>
      <c r="E34" s="5" t="s">
        <v>320</v>
      </c>
      <c r="F34" s="99">
        <f>ROUND(VLOOKUP(B34,Quant.!C:J,8,0),2)</f>
        <v>6186.73</v>
      </c>
      <c r="G34" s="94" t="s">
        <v>353</v>
      </c>
      <c r="H34" s="94">
        <f t="shared" si="4"/>
        <v>27.23</v>
      </c>
      <c r="I34" s="275">
        <f t="shared" si="5"/>
        <v>168464.66</v>
      </c>
      <c r="K34" s="1">
        <f t="shared" si="3"/>
        <v>135613.12160000001</v>
      </c>
      <c r="M34" s="404"/>
    </row>
    <row r="35" spans="2:13" ht="36" customHeight="1">
      <c r="B35" s="274" t="s">
        <v>444</v>
      </c>
      <c r="C35" s="5" t="s">
        <v>528</v>
      </c>
      <c r="D35" s="303" t="s">
        <v>782</v>
      </c>
      <c r="E35" s="5" t="s">
        <v>320</v>
      </c>
      <c r="F35" s="99">
        <f>ROUND(VLOOKUP(B35,Quant.!C:J,8,0),2)</f>
        <v>21132.81</v>
      </c>
      <c r="G35" s="94">
        <v>3.52</v>
      </c>
      <c r="H35" s="94">
        <f t="shared" si="4"/>
        <v>4.37</v>
      </c>
      <c r="I35" s="275">
        <f t="shared" si="5"/>
        <v>92350.38</v>
      </c>
      <c r="K35" s="1">
        <f t="shared" si="3"/>
        <v>74387.491200000004</v>
      </c>
    </row>
    <row r="36" spans="2:13" ht="35.1" customHeight="1">
      <c r="B36" s="274" t="s">
        <v>445</v>
      </c>
      <c r="C36" s="5" t="s">
        <v>529</v>
      </c>
      <c r="D36" s="402" t="s">
        <v>532</v>
      </c>
      <c r="E36" s="5" t="s">
        <v>321</v>
      </c>
      <c r="F36" s="99">
        <f>ROUND(VLOOKUP(B36,Quant.!C:J,8,0),2)</f>
        <v>194552.35</v>
      </c>
      <c r="G36" s="94">
        <v>3.21</v>
      </c>
      <c r="H36" s="94">
        <f t="shared" si="4"/>
        <v>3.99</v>
      </c>
      <c r="I36" s="275">
        <f t="shared" si="5"/>
        <v>776263.88</v>
      </c>
      <c r="K36" s="1">
        <f t="shared" si="3"/>
        <v>624513.04350000003</v>
      </c>
    </row>
    <row r="37" spans="2:13" ht="38.25" customHeight="1">
      <c r="B37" s="274" t="s">
        <v>446</v>
      </c>
      <c r="C37" s="5" t="s">
        <v>528</v>
      </c>
      <c r="D37" s="303" t="s">
        <v>781</v>
      </c>
      <c r="E37" s="5" t="s">
        <v>320</v>
      </c>
      <c r="F37" s="99">
        <f>ROUND(VLOOKUP(B37,Quant.!C:J,8,0),2)</f>
        <v>7365.43</v>
      </c>
      <c r="G37" s="94">
        <v>3.52</v>
      </c>
      <c r="H37" s="94">
        <f t="shared" si="4"/>
        <v>4.37</v>
      </c>
      <c r="I37" s="275">
        <f t="shared" si="5"/>
        <v>32186.93</v>
      </c>
      <c r="K37" s="1">
        <f t="shared" si="3"/>
        <v>25926.313600000001</v>
      </c>
    </row>
    <row r="38" spans="2:13" ht="35.1" customHeight="1">
      <c r="B38" s="274" t="s">
        <v>447</v>
      </c>
      <c r="C38" s="5" t="s">
        <v>530</v>
      </c>
      <c r="D38" s="402" t="s">
        <v>531</v>
      </c>
      <c r="E38" s="5" t="s">
        <v>321</v>
      </c>
      <c r="F38" s="99">
        <f>ROUND(VLOOKUP(B38,Quant.!C:J,8,0),2)</f>
        <v>47875.26</v>
      </c>
      <c r="G38" s="94">
        <v>3.34</v>
      </c>
      <c r="H38" s="94">
        <f t="shared" si="4"/>
        <v>4.1500000000000004</v>
      </c>
      <c r="I38" s="275">
        <f t="shared" si="5"/>
        <v>198682.33</v>
      </c>
      <c r="K38" s="1">
        <f t="shared" si="3"/>
        <v>159903.36840000001</v>
      </c>
    </row>
    <row r="39" spans="2:13" ht="25.5" customHeight="1">
      <c r="B39" s="274" t="s">
        <v>448</v>
      </c>
      <c r="C39" s="5" t="s">
        <v>533</v>
      </c>
      <c r="D39" s="402" t="s">
        <v>534</v>
      </c>
      <c r="E39" s="5" t="s">
        <v>320</v>
      </c>
      <c r="F39" s="99">
        <f>ROUND(VLOOKUP(B39,Quant.!C:J,8,0),2)</f>
        <v>14730.85</v>
      </c>
      <c r="G39" s="94">
        <v>1.19</v>
      </c>
      <c r="H39" s="94">
        <f t="shared" si="4"/>
        <v>1.48</v>
      </c>
      <c r="I39" s="275">
        <f t="shared" si="5"/>
        <v>21801.66</v>
      </c>
      <c r="K39" s="1">
        <f t="shared" si="3"/>
        <v>17529.711500000001</v>
      </c>
    </row>
    <row r="40" spans="2:13" ht="23.1" customHeight="1">
      <c r="B40" s="274"/>
      <c r="C40" s="390"/>
      <c r="D40" s="395"/>
      <c r="E40" s="396"/>
      <c r="F40" s="397"/>
      <c r="G40" s="398"/>
      <c r="H40" s="399"/>
      <c r="I40" s="400"/>
    </row>
    <row r="41" spans="2:13" ht="23.1" customHeight="1">
      <c r="B41" s="421">
        <v>5</v>
      </c>
      <c r="C41" s="422"/>
      <c r="D41" s="417" t="s">
        <v>622</v>
      </c>
      <c r="E41" s="390"/>
      <c r="F41" s="423"/>
      <c r="G41" s="390"/>
      <c r="H41" s="5"/>
      <c r="I41" s="424">
        <f>SUBTOTAL(9,I42:I69)</f>
        <v>563770.11</v>
      </c>
      <c r="K41" s="1">
        <f t="shared" si="3"/>
        <v>0</v>
      </c>
    </row>
    <row r="42" spans="2:13" ht="23.1" customHeight="1">
      <c r="B42" s="274" t="s">
        <v>57</v>
      </c>
      <c r="C42" s="5" t="s">
        <v>535</v>
      </c>
      <c r="D42" s="303" t="s">
        <v>536</v>
      </c>
      <c r="E42" s="5" t="s">
        <v>525</v>
      </c>
      <c r="F42" s="99">
        <f>ROUND(VLOOKUP(B42,Quant.!C:J,8,0),2)</f>
        <v>50</v>
      </c>
      <c r="G42" s="94">
        <v>75</v>
      </c>
      <c r="H42" s="94">
        <f t="shared" ref="H42:H69" si="6">ROUND(G42*(1+$I$8),2)</f>
        <v>93.17</v>
      </c>
      <c r="I42" s="275">
        <f t="shared" ref="I42:I69" si="7">ROUND(F42*H42,2)</f>
        <v>4658.5</v>
      </c>
      <c r="K42" s="1">
        <f t="shared" si="3"/>
        <v>3750</v>
      </c>
    </row>
    <row r="43" spans="2:13" ht="39" customHeight="1">
      <c r="B43" s="274" t="s">
        <v>58</v>
      </c>
      <c r="C43" s="5" t="s">
        <v>579</v>
      </c>
      <c r="D43" s="303" t="s">
        <v>580</v>
      </c>
      <c r="E43" s="5" t="s">
        <v>317</v>
      </c>
      <c r="F43" s="99">
        <f>ROUND(VLOOKUP(B43,Quant.!C:J,8,0),2)</f>
        <v>2173.17</v>
      </c>
      <c r="G43" s="94">
        <v>35.56</v>
      </c>
      <c r="H43" s="94">
        <f t="shared" si="6"/>
        <v>44.18</v>
      </c>
      <c r="I43" s="275">
        <f t="shared" si="7"/>
        <v>96010.65</v>
      </c>
      <c r="K43" s="1">
        <f t="shared" si="3"/>
        <v>77277.925200000012</v>
      </c>
    </row>
    <row r="44" spans="2:13" ht="38.25" customHeight="1">
      <c r="B44" s="274" t="s">
        <v>86</v>
      </c>
      <c r="C44" s="5" t="s">
        <v>581</v>
      </c>
      <c r="D44" s="303" t="s">
        <v>582</v>
      </c>
      <c r="E44" s="5" t="s">
        <v>317</v>
      </c>
      <c r="F44" s="99">
        <f>ROUND(VLOOKUP(B44,Quant.!C:J,8,0),2)</f>
        <v>448.27</v>
      </c>
      <c r="G44" s="94">
        <v>57.49</v>
      </c>
      <c r="H44" s="94">
        <f t="shared" si="6"/>
        <v>71.42</v>
      </c>
      <c r="I44" s="275">
        <f t="shared" si="7"/>
        <v>32015.439999999999</v>
      </c>
      <c r="K44" s="1">
        <f t="shared" si="3"/>
        <v>25771.042300000001</v>
      </c>
    </row>
    <row r="45" spans="2:13" ht="23.1" customHeight="1">
      <c r="B45" s="274" t="s">
        <v>109</v>
      </c>
      <c r="C45" s="5" t="s">
        <v>583</v>
      </c>
      <c r="D45" s="303" t="s">
        <v>584</v>
      </c>
      <c r="E45" s="5" t="s">
        <v>320</v>
      </c>
      <c r="F45" s="99">
        <f>ROUND(VLOOKUP(B45,Quant.!C:J,8,0),2)</f>
        <v>1142.52</v>
      </c>
      <c r="G45" s="94">
        <v>4.3600000000000003</v>
      </c>
      <c r="H45" s="94">
        <f t="shared" si="6"/>
        <v>5.42</v>
      </c>
      <c r="I45" s="275">
        <f t="shared" si="7"/>
        <v>6192.46</v>
      </c>
      <c r="K45" s="1">
        <f t="shared" si="3"/>
        <v>4981.3872000000001</v>
      </c>
    </row>
    <row r="46" spans="2:13" ht="33" customHeight="1">
      <c r="B46" s="274" t="s">
        <v>87</v>
      </c>
      <c r="C46" s="5" t="s">
        <v>585</v>
      </c>
      <c r="D46" s="303" t="s">
        <v>763</v>
      </c>
      <c r="E46" s="5" t="s">
        <v>320</v>
      </c>
      <c r="F46" s="99">
        <f>ROUND(VLOOKUP(B46,Quant.!C:J,8,0),2)</f>
        <v>248.2</v>
      </c>
      <c r="G46" s="94">
        <v>5.23</v>
      </c>
      <c r="H46" s="94">
        <f t="shared" si="6"/>
        <v>6.5</v>
      </c>
      <c r="I46" s="275">
        <f t="shared" si="7"/>
        <v>1613.3</v>
      </c>
      <c r="K46" s="1">
        <f t="shared" si="3"/>
        <v>1298.086</v>
      </c>
      <c r="M46" s="404"/>
    </row>
    <row r="47" spans="2:13" ht="35.1" customHeight="1">
      <c r="B47" s="274" t="s">
        <v>88</v>
      </c>
      <c r="C47" s="5" t="s">
        <v>670</v>
      </c>
      <c r="D47" s="303" t="s">
        <v>311</v>
      </c>
      <c r="E47" s="5" t="s">
        <v>320</v>
      </c>
      <c r="F47" s="99">
        <f>ROUND(VLOOKUP(B47,Quant.!C:J,8,0),2)</f>
        <v>315.67</v>
      </c>
      <c r="G47" s="94" t="s">
        <v>354</v>
      </c>
      <c r="H47" s="94">
        <f t="shared" si="6"/>
        <v>11.38</v>
      </c>
      <c r="I47" s="275">
        <f t="shared" si="7"/>
        <v>3592.32</v>
      </c>
      <c r="K47" s="1">
        <f t="shared" si="3"/>
        <v>2891.5372000000002</v>
      </c>
      <c r="M47" s="404"/>
    </row>
    <row r="48" spans="2:13" ht="35.1" customHeight="1">
      <c r="B48" s="274" t="s">
        <v>394</v>
      </c>
      <c r="C48" s="5" t="s">
        <v>669</v>
      </c>
      <c r="D48" s="303" t="s">
        <v>310</v>
      </c>
      <c r="E48" s="5" t="s">
        <v>320</v>
      </c>
      <c r="F48" s="99">
        <f>ROUND(VLOOKUP(B48,Quant.!C:J,8,0),2)</f>
        <v>144.84</v>
      </c>
      <c r="G48" s="94" t="s">
        <v>355</v>
      </c>
      <c r="H48" s="94">
        <f t="shared" si="6"/>
        <v>9.4</v>
      </c>
      <c r="I48" s="275">
        <f t="shared" si="7"/>
        <v>1361.5</v>
      </c>
      <c r="K48" s="1">
        <f t="shared" si="3"/>
        <v>1096.4388000000001</v>
      </c>
      <c r="M48" s="404"/>
    </row>
    <row r="49" spans="2:11" ht="36.75" customHeight="1">
      <c r="B49" s="274" t="s">
        <v>395</v>
      </c>
      <c r="C49" s="5" t="s">
        <v>586</v>
      </c>
      <c r="D49" s="303" t="s">
        <v>589</v>
      </c>
      <c r="E49" s="5" t="s">
        <v>320</v>
      </c>
      <c r="F49" s="99">
        <f>ROUND(VLOOKUP(B49,Quant.!C:J,8,0),2)</f>
        <v>996.91</v>
      </c>
      <c r="G49" s="94">
        <v>1.36</v>
      </c>
      <c r="H49" s="94">
        <f t="shared" si="6"/>
        <v>1.69</v>
      </c>
      <c r="I49" s="275">
        <f t="shared" si="7"/>
        <v>1684.78</v>
      </c>
      <c r="K49" s="1">
        <f t="shared" si="3"/>
        <v>1355.7976000000001</v>
      </c>
    </row>
    <row r="50" spans="2:11" ht="35.1" customHeight="1">
      <c r="B50" s="274" t="s">
        <v>449</v>
      </c>
      <c r="C50" s="5" t="s">
        <v>529</v>
      </c>
      <c r="D50" s="402" t="s">
        <v>532</v>
      </c>
      <c r="E50" s="5" t="s">
        <v>321</v>
      </c>
      <c r="F50" s="99">
        <f>ROUND(VLOOKUP(B50,Quant.!C:J,8,0),2)</f>
        <v>5183.95</v>
      </c>
      <c r="G50" s="94">
        <v>3.21</v>
      </c>
      <c r="H50" s="94">
        <f t="shared" si="6"/>
        <v>3.99</v>
      </c>
      <c r="I50" s="275">
        <f t="shared" si="7"/>
        <v>20683.96</v>
      </c>
      <c r="K50" s="1">
        <f t="shared" si="3"/>
        <v>16640.479499999998</v>
      </c>
    </row>
    <row r="51" spans="2:11" ht="33.75" customHeight="1">
      <c r="B51" s="274" t="s">
        <v>450</v>
      </c>
      <c r="C51" s="5" t="s">
        <v>528</v>
      </c>
      <c r="D51" s="303" t="s">
        <v>762</v>
      </c>
      <c r="E51" s="5" t="s">
        <v>320</v>
      </c>
      <c r="F51" s="99">
        <f>ROUND(VLOOKUP(B51,Quant.!C:J,8,0),2)</f>
        <v>381.1</v>
      </c>
      <c r="G51" s="94">
        <v>3.52</v>
      </c>
      <c r="H51" s="94">
        <f t="shared" si="6"/>
        <v>4.37</v>
      </c>
      <c r="I51" s="275">
        <f t="shared" si="7"/>
        <v>1665.41</v>
      </c>
      <c r="K51" s="1">
        <f t="shared" si="3"/>
        <v>1341.472</v>
      </c>
    </row>
    <row r="52" spans="2:11" ht="35.1" customHeight="1">
      <c r="B52" s="274" t="s">
        <v>451</v>
      </c>
      <c r="C52" s="5" t="s">
        <v>530</v>
      </c>
      <c r="D52" s="402" t="s">
        <v>531</v>
      </c>
      <c r="E52" s="5" t="s">
        <v>321</v>
      </c>
      <c r="F52" s="99">
        <f>ROUND(VLOOKUP(B52,Quant.!C:J,8,0),2)</f>
        <v>1905.49</v>
      </c>
      <c r="G52" s="94">
        <v>3.34</v>
      </c>
      <c r="H52" s="94">
        <f t="shared" si="6"/>
        <v>4.1500000000000004</v>
      </c>
      <c r="I52" s="275">
        <f t="shared" si="7"/>
        <v>7907.78</v>
      </c>
      <c r="K52" s="1">
        <f t="shared" si="3"/>
        <v>6364.3365999999996</v>
      </c>
    </row>
    <row r="53" spans="2:11" ht="23.1" customHeight="1">
      <c r="B53" s="274" t="s">
        <v>452</v>
      </c>
      <c r="C53" s="5" t="s">
        <v>587</v>
      </c>
      <c r="D53" s="303" t="s">
        <v>588</v>
      </c>
      <c r="E53" s="5" t="s">
        <v>317</v>
      </c>
      <c r="F53" s="99">
        <f>ROUND(VLOOKUP(B53,Quant.!C:J,8,0),2)</f>
        <v>972.13</v>
      </c>
      <c r="G53" s="94">
        <v>2.2599999999999998</v>
      </c>
      <c r="H53" s="94">
        <f t="shared" si="6"/>
        <v>2.81</v>
      </c>
      <c r="I53" s="275">
        <f t="shared" si="7"/>
        <v>2731.69</v>
      </c>
      <c r="K53" s="1">
        <f t="shared" si="3"/>
        <v>2197.0137999999997</v>
      </c>
    </row>
    <row r="54" spans="2:11" ht="23.1" customHeight="1">
      <c r="B54" s="274" t="s">
        <v>453</v>
      </c>
      <c r="C54" s="5" t="s">
        <v>590</v>
      </c>
      <c r="D54" s="303" t="s">
        <v>591</v>
      </c>
      <c r="E54" s="5" t="s">
        <v>320</v>
      </c>
      <c r="F54" s="99">
        <f>ROUND(VLOOKUP(B54,Quant.!C:J,8,0),2)</f>
        <v>275.51</v>
      </c>
      <c r="G54" s="94">
        <v>43.18</v>
      </c>
      <c r="H54" s="94">
        <f t="shared" si="6"/>
        <v>53.64</v>
      </c>
      <c r="I54" s="275">
        <f t="shared" si="7"/>
        <v>14778.36</v>
      </c>
      <c r="K54" s="1">
        <f t="shared" si="3"/>
        <v>11896.521799999999</v>
      </c>
    </row>
    <row r="55" spans="2:11" ht="23.1" customHeight="1">
      <c r="B55" s="274" t="s">
        <v>454</v>
      </c>
      <c r="C55" s="5" t="s">
        <v>592</v>
      </c>
      <c r="D55" s="303" t="s">
        <v>593</v>
      </c>
      <c r="E55" s="5" t="s">
        <v>320</v>
      </c>
      <c r="F55" s="99">
        <f>ROUND(VLOOKUP(B55,Quant.!C:J,8,0),2)</f>
        <v>1102.02</v>
      </c>
      <c r="G55" s="94">
        <v>27.16</v>
      </c>
      <c r="H55" s="94">
        <f t="shared" si="6"/>
        <v>33.74</v>
      </c>
      <c r="I55" s="275">
        <f t="shared" si="7"/>
        <v>37182.15</v>
      </c>
      <c r="K55" s="1">
        <f t="shared" si="3"/>
        <v>29930.8632</v>
      </c>
    </row>
    <row r="56" spans="2:11" ht="35.1" customHeight="1">
      <c r="B56" s="274" t="s">
        <v>455</v>
      </c>
      <c r="C56" s="5" t="s">
        <v>594</v>
      </c>
      <c r="D56" s="303" t="s">
        <v>595</v>
      </c>
      <c r="E56" s="5" t="s">
        <v>320</v>
      </c>
      <c r="F56" s="99">
        <f>ROUND(VLOOKUP(B56,Quant.!C:J,8,0),2)</f>
        <v>182.76</v>
      </c>
      <c r="G56" s="94">
        <v>325.27999999999997</v>
      </c>
      <c r="H56" s="94">
        <f t="shared" si="6"/>
        <v>404.1</v>
      </c>
      <c r="I56" s="275">
        <f t="shared" si="7"/>
        <v>73853.320000000007</v>
      </c>
      <c r="K56" s="1">
        <f t="shared" si="3"/>
        <v>59448.172799999993</v>
      </c>
    </row>
    <row r="57" spans="2:11" ht="22.5" customHeight="1">
      <c r="B57" s="274" t="s">
        <v>456</v>
      </c>
      <c r="C57" s="5" t="s">
        <v>596</v>
      </c>
      <c r="D57" s="303" t="s">
        <v>597</v>
      </c>
      <c r="E57" s="5" t="s">
        <v>317</v>
      </c>
      <c r="F57" s="99">
        <f>ROUND(VLOOKUP(B57,Quant.!C:J,8,0),2)</f>
        <v>467.69</v>
      </c>
      <c r="G57" s="94">
        <v>24.16</v>
      </c>
      <c r="H57" s="94">
        <f t="shared" si="6"/>
        <v>30.01</v>
      </c>
      <c r="I57" s="275">
        <f t="shared" si="7"/>
        <v>14035.38</v>
      </c>
      <c r="K57" s="1">
        <f t="shared" si="3"/>
        <v>11299.3904</v>
      </c>
    </row>
    <row r="58" spans="2:11" ht="33" customHeight="1">
      <c r="B58" s="274" t="s">
        <v>457</v>
      </c>
      <c r="C58" s="5" t="s">
        <v>598</v>
      </c>
      <c r="D58" s="303" t="s">
        <v>599</v>
      </c>
      <c r="E58" s="5" t="s">
        <v>322</v>
      </c>
      <c r="F58" s="99">
        <f>ROUND(VLOOKUP(B58,Quant.!C:J,8,0),2)</f>
        <v>51.88</v>
      </c>
      <c r="G58" s="94">
        <v>75.239999999999995</v>
      </c>
      <c r="H58" s="94">
        <f t="shared" si="6"/>
        <v>93.47</v>
      </c>
      <c r="I58" s="275">
        <f t="shared" si="7"/>
        <v>4849.22</v>
      </c>
      <c r="K58" s="1">
        <f t="shared" si="3"/>
        <v>3903.4512</v>
      </c>
    </row>
    <row r="59" spans="2:11" ht="33" customHeight="1">
      <c r="B59" s="274" t="s">
        <v>458</v>
      </c>
      <c r="C59" s="5" t="s">
        <v>600</v>
      </c>
      <c r="D59" s="303" t="s">
        <v>601</v>
      </c>
      <c r="E59" s="5" t="s">
        <v>322</v>
      </c>
      <c r="F59" s="99">
        <f>ROUND(VLOOKUP(B59,Quant.!C:J,8,0),2)</f>
        <v>580.21</v>
      </c>
      <c r="G59" s="94">
        <v>143.16999999999999</v>
      </c>
      <c r="H59" s="94">
        <f t="shared" si="6"/>
        <v>177.86</v>
      </c>
      <c r="I59" s="275">
        <f t="shared" si="7"/>
        <v>103196.15</v>
      </c>
      <c r="K59" s="1">
        <f t="shared" si="3"/>
        <v>83068.665699999998</v>
      </c>
    </row>
    <row r="60" spans="2:11" ht="33" customHeight="1">
      <c r="B60" s="274" t="s">
        <v>459</v>
      </c>
      <c r="C60" s="5" t="s">
        <v>602</v>
      </c>
      <c r="D60" s="303" t="s">
        <v>603</v>
      </c>
      <c r="E60" s="5" t="s">
        <v>322</v>
      </c>
      <c r="F60" s="99">
        <f>ROUND(VLOOKUP(B60,Quant.!C:J,8,0),2)</f>
        <v>72.010000000000005</v>
      </c>
      <c r="G60" s="94">
        <v>235.76</v>
      </c>
      <c r="H60" s="94">
        <f t="shared" si="6"/>
        <v>292.88</v>
      </c>
      <c r="I60" s="275">
        <f t="shared" si="7"/>
        <v>21090.29</v>
      </c>
      <c r="K60" s="1">
        <f t="shared" si="3"/>
        <v>16977.077600000001</v>
      </c>
    </row>
    <row r="61" spans="2:11" ht="36" customHeight="1">
      <c r="B61" s="274" t="s">
        <v>460</v>
      </c>
      <c r="C61" s="5" t="s">
        <v>606</v>
      </c>
      <c r="D61" s="303" t="s">
        <v>607</v>
      </c>
      <c r="E61" s="5" t="s">
        <v>319</v>
      </c>
      <c r="F61" s="99">
        <f>ROUND(VLOOKUP(B61,Quant.!C:J,8,0),2)</f>
        <v>1</v>
      </c>
      <c r="G61" s="94">
        <v>1433.88</v>
      </c>
      <c r="H61" s="94">
        <f t="shared" si="6"/>
        <v>1781.31</v>
      </c>
      <c r="I61" s="275">
        <f t="shared" si="7"/>
        <v>1781.31</v>
      </c>
      <c r="K61" s="1">
        <f t="shared" si="3"/>
        <v>1433.88</v>
      </c>
    </row>
    <row r="62" spans="2:11" ht="31.5" customHeight="1">
      <c r="B62" s="274" t="s">
        <v>461</v>
      </c>
      <c r="C62" s="5" t="s">
        <v>608</v>
      </c>
      <c r="D62" s="303" t="s">
        <v>609</v>
      </c>
      <c r="E62" s="5" t="s">
        <v>319</v>
      </c>
      <c r="F62" s="99">
        <f>ROUND(VLOOKUP(B62,Quant.!C:J,8,0),2)</f>
        <v>10</v>
      </c>
      <c r="G62" s="94">
        <v>1523.54</v>
      </c>
      <c r="H62" s="94">
        <f t="shared" si="6"/>
        <v>1892.69</v>
      </c>
      <c r="I62" s="275">
        <f t="shared" si="7"/>
        <v>18926.900000000001</v>
      </c>
      <c r="K62" s="1">
        <f t="shared" si="3"/>
        <v>15235.4</v>
      </c>
    </row>
    <row r="63" spans="2:11" ht="37.5" customHeight="1">
      <c r="B63" s="274" t="s">
        <v>462</v>
      </c>
      <c r="C63" s="5" t="s">
        <v>610</v>
      </c>
      <c r="D63" s="303" t="s">
        <v>615</v>
      </c>
      <c r="E63" s="5" t="s">
        <v>319</v>
      </c>
      <c r="F63" s="99">
        <f>ROUND(VLOOKUP(B63,Quant.!C:J,8,0),2)</f>
        <v>1</v>
      </c>
      <c r="G63" s="94">
        <v>1994.1</v>
      </c>
      <c r="H63" s="94">
        <f t="shared" si="6"/>
        <v>2477.27</v>
      </c>
      <c r="I63" s="275">
        <f t="shared" si="7"/>
        <v>2477.27</v>
      </c>
      <c r="K63" s="1">
        <f t="shared" ref="K63:K95" si="8">G63*F63</f>
        <v>1994.1</v>
      </c>
    </row>
    <row r="64" spans="2:11" ht="32.25" customHeight="1">
      <c r="B64" s="274" t="s">
        <v>463</v>
      </c>
      <c r="C64" s="5" t="s">
        <v>604</v>
      </c>
      <c r="D64" s="303" t="s">
        <v>605</v>
      </c>
      <c r="E64" s="5" t="s">
        <v>322</v>
      </c>
      <c r="F64" s="99">
        <f>ROUND(VLOOKUP(B64,Quant.!C:J,8,0),2)</f>
        <v>6.27</v>
      </c>
      <c r="G64" s="94">
        <v>206.33</v>
      </c>
      <c r="H64" s="94">
        <f t="shared" si="6"/>
        <v>256.32</v>
      </c>
      <c r="I64" s="275">
        <f t="shared" si="7"/>
        <v>1607.13</v>
      </c>
      <c r="K64" s="1">
        <f t="shared" si="8"/>
        <v>1293.6891000000001</v>
      </c>
    </row>
    <row r="65" spans="2:13" ht="23.1" customHeight="1">
      <c r="B65" s="274" t="s">
        <v>464</v>
      </c>
      <c r="C65" s="5" t="s">
        <v>611</v>
      </c>
      <c r="D65" s="303" t="s">
        <v>612</v>
      </c>
      <c r="E65" s="5" t="s">
        <v>319</v>
      </c>
      <c r="F65" s="99">
        <f>ROUND(VLOOKUP(B65,Quant.!C:J,8,0),2)</f>
        <v>12</v>
      </c>
      <c r="G65" s="94">
        <v>391.56</v>
      </c>
      <c r="H65" s="94">
        <f t="shared" si="6"/>
        <v>486.43</v>
      </c>
      <c r="I65" s="275">
        <f t="shared" si="7"/>
        <v>5837.16</v>
      </c>
      <c r="K65" s="1">
        <f t="shared" si="8"/>
        <v>4698.72</v>
      </c>
    </row>
    <row r="66" spans="2:13" ht="35.25" customHeight="1">
      <c r="B66" s="274" t="s">
        <v>465</v>
      </c>
      <c r="C66" s="405" t="s">
        <v>613</v>
      </c>
      <c r="D66" s="303" t="s">
        <v>614</v>
      </c>
      <c r="E66" s="5" t="s">
        <v>319</v>
      </c>
      <c r="F66" s="99">
        <f>ROUND(VLOOKUP(B66,Quant.!C:J,8,0),2)</f>
        <v>28</v>
      </c>
      <c r="G66" s="94">
        <v>888.51</v>
      </c>
      <c r="H66" s="94">
        <f t="shared" si="6"/>
        <v>1103.8</v>
      </c>
      <c r="I66" s="275">
        <f t="shared" si="7"/>
        <v>30906.400000000001</v>
      </c>
      <c r="K66" s="1">
        <f t="shared" si="8"/>
        <v>24878.28</v>
      </c>
    </row>
    <row r="67" spans="2:13" ht="31.5" customHeight="1">
      <c r="B67" s="274" t="s">
        <v>466</v>
      </c>
      <c r="C67" s="405" t="s">
        <v>616</v>
      </c>
      <c r="D67" s="303" t="s">
        <v>617</v>
      </c>
      <c r="E67" s="5" t="s">
        <v>319</v>
      </c>
      <c r="F67" s="99">
        <f>ROUND(VLOOKUP(B67,Quant.!C:J,8,0),2)</f>
        <v>24</v>
      </c>
      <c r="G67" s="94">
        <v>1558.87</v>
      </c>
      <c r="H67" s="94">
        <f t="shared" si="6"/>
        <v>1936.58</v>
      </c>
      <c r="I67" s="275">
        <f t="shared" si="7"/>
        <v>46477.919999999998</v>
      </c>
      <c r="K67" s="1">
        <f t="shared" si="8"/>
        <v>37412.879999999997</v>
      </c>
    </row>
    <row r="68" spans="2:13" ht="23.1" customHeight="1">
      <c r="B68" s="274" t="s">
        <v>467</v>
      </c>
      <c r="C68" s="5" t="s">
        <v>618</v>
      </c>
      <c r="D68" s="303" t="s">
        <v>619</v>
      </c>
      <c r="E68" s="5" t="s">
        <v>319</v>
      </c>
      <c r="F68" s="99">
        <f>ROUND(VLOOKUP(B68,Quant.!C:J,8,0),2)</f>
        <v>1</v>
      </c>
      <c r="G68" s="94">
        <v>921.87</v>
      </c>
      <c r="H68" s="94">
        <f t="shared" si="6"/>
        <v>1145.24</v>
      </c>
      <c r="I68" s="275">
        <f t="shared" si="7"/>
        <v>1145.24</v>
      </c>
      <c r="K68" s="1">
        <f t="shared" si="8"/>
        <v>921.87</v>
      </c>
    </row>
    <row r="69" spans="2:13" ht="23.1" customHeight="1">
      <c r="B69" s="274" t="s">
        <v>468</v>
      </c>
      <c r="C69" s="5" t="s">
        <v>620</v>
      </c>
      <c r="D69" s="303" t="s">
        <v>621</v>
      </c>
      <c r="E69" s="5" t="s">
        <v>319</v>
      </c>
      <c r="F69" s="99">
        <f>ROUND(VLOOKUP(B69,Quant.!C:J,8,0),2)</f>
        <v>4</v>
      </c>
      <c r="G69" s="94">
        <v>1108.45</v>
      </c>
      <c r="H69" s="94">
        <f t="shared" si="6"/>
        <v>1377.03</v>
      </c>
      <c r="I69" s="275">
        <f t="shared" si="7"/>
        <v>5508.12</v>
      </c>
      <c r="K69" s="1">
        <f t="shared" si="8"/>
        <v>4433.8</v>
      </c>
    </row>
    <row r="70" spans="2:13" ht="23.1" customHeight="1">
      <c r="B70" s="274"/>
      <c r="C70" s="390"/>
      <c r="D70" s="395"/>
      <c r="E70" s="396"/>
      <c r="F70" s="397"/>
      <c r="G70" s="398"/>
      <c r="H70" s="399"/>
      <c r="I70" s="400"/>
    </row>
    <row r="71" spans="2:13" ht="23.1" customHeight="1">
      <c r="B71" s="421">
        <v>6</v>
      </c>
      <c r="C71" s="422"/>
      <c r="D71" s="426" t="s">
        <v>203</v>
      </c>
      <c r="E71" s="390"/>
      <c r="F71" s="423"/>
      <c r="G71" s="390"/>
      <c r="H71" s="5"/>
      <c r="I71" s="424">
        <f>SUBTOTAL(9,I72:I83)</f>
        <v>1821438.6000000003</v>
      </c>
      <c r="K71" s="1">
        <f t="shared" si="8"/>
        <v>0</v>
      </c>
    </row>
    <row r="72" spans="2:13" ht="31.5" customHeight="1">
      <c r="B72" s="274" t="s">
        <v>83</v>
      </c>
      <c r="C72" s="5" t="s">
        <v>528</v>
      </c>
      <c r="D72" s="303" t="s">
        <v>762</v>
      </c>
      <c r="E72" s="5" t="s">
        <v>320</v>
      </c>
      <c r="F72" s="99">
        <f>ROUND(VLOOKUP(B72,Quant.!C:J,8,0),2)</f>
        <v>4918.13</v>
      </c>
      <c r="G72" s="94">
        <v>3.52</v>
      </c>
      <c r="H72" s="94">
        <f t="shared" ref="H72:H83" si="9">ROUND(G72*(1+$I$8),2)</f>
        <v>4.37</v>
      </c>
      <c r="I72" s="275">
        <f t="shared" ref="I72:I82" si="10">ROUND(F72*H72,2)</f>
        <v>21492.23</v>
      </c>
      <c r="K72" s="1">
        <f t="shared" si="8"/>
        <v>17311.817600000002</v>
      </c>
    </row>
    <row r="73" spans="2:13" ht="35.1" customHeight="1">
      <c r="B73" s="274" t="s">
        <v>84</v>
      </c>
      <c r="C73" s="5" t="s">
        <v>529</v>
      </c>
      <c r="D73" s="402" t="s">
        <v>532</v>
      </c>
      <c r="E73" s="5" t="s">
        <v>321</v>
      </c>
      <c r="F73" s="99">
        <f>ROUND(VLOOKUP(B73,Quant.!C:J,8,0),2)</f>
        <v>25574.3</v>
      </c>
      <c r="G73" s="94">
        <v>3.21</v>
      </c>
      <c r="H73" s="94">
        <f t="shared" si="9"/>
        <v>3.99</v>
      </c>
      <c r="I73" s="275">
        <f t="shared" si="10"/>
        <v>102041.46</v>
      </c>
      <c r="K73" s="1">
        <f t="shared" si="8"/>
        <v>82093.502999999997</v>
      </c>
    </row>
    <row r="74" spans="2:13" ht="23.1" customHeight="1">
      <c r="B74" s="274" t="s">
        <v>85</v>
      </c>
      <c r="C74" s="5" t="s">
        <v>587</v>
      </c>
      <c r="D74" s="303" t="s">
        <v>588</v>
      </c>
      <c r="E74" s="5" t="s">
        <v>317</v>
      </c>
      <c r="F74" s="99">
        <f>ROUND(VLOOKUP(B74,Quant.!C:J,8,0),2)</f>
        <v>20628.98</v>
      </c>
      <c r="G74" s="94">
        <v>2.2599999999999998</v>
      </c>
      <c r="H74" s="94">
        <f t="shared" si="9"/>
        <v>2.81</v>
      </c>
      <c r="I74" s="275">
        <f t="shared" si="10"/>
        <v>57967.43</v>
      </c>
      <c r="K74" s="1">
        <f t="shared" si="8"/>
        <v>46621.494799999993</v>
      </c>
    </row>
    <row r="75" spans="2:13" ht="23.1" customHeight="1">
      <c r="B75" s="274" t="s">
        <v>97</v>
      </c>
      <c r="C75" s="5" t="s">
        <v>626</v>
      </c>
      <c r="D75" s="303" t="s">
        <v>627</v>
      </c>
      <c r="E75" s="5" t="s">
        <v>320</v>
      </c>
      <c r="F75" s="99">
        <f>ROUND(VLOOKUP(B75,Quant.!C:J,8,0),2)</f>
        <v>3783.18</v>
      </c>
      <c r="G75" s="94">
        <v>78.150000000000006</v>
      </c>
      <c r="H75" s="94">
        <f t="shared" si="9"/>
        <v>97.09</v>
      </c>
      <c r="I75" s="275">
        <f t="shared" si="10"/>
        <v>367308.95</v>
      </c>
      <c r="K75" s="1">
        <f t="shared" si="8"/>
        <v>295655.51699999999</v>
      </c>
    </row>
    <row r="76" spans="2:13" ht="35.1" customHeight="1">
      <c r="B76" s="274" t="s">
        <v>114</v>
      </c>
      <c r="C76" s="5" t="s">
        <v>529</v>
      </c>
      <c r="D76" s="402" t="s">
        <v>628</v>
      </c>
      <c r="E76" s="5" t="s">
        <v>321</v>
      </c>
      <c r="F76" s="99">
        <f>ROUND(VLOOKUP(B76,Quant.!C:J,8,0),2)</f>
        <v>33291.980000000003</v>
      </c>
      <c r="G76" s="94">
        <v>0.86</v>
      </c>
      <c r="H76" s="94">
        <f t="shared" si="9"/>
        <v>1.07</v>
      </c>
      <c r="I76" s="275">
        <f t="shared" si="10"/>
        <v>35622.42</v>
      </c>
      <c r="K76" s="1">
        <f t="shared" si="8"/>
        <v>28631.102800000001</v>
      </c>
    </row>
    <row r="77" spans="2:13" ht="78.75" customHeight="1">
      <c r="B77" s="274" t="s">
        <v>123</v>
      </c>
      <c r="C77" s="5" t="s">
        <v>675</v>
      </c>
      <c r="D77" s="548" t="s">
        <v>417</v>
      </c>
      <c r="E77" s="5" t="s">
        <v>320</v>
      </c>
      <c r="F77" s="99">
        <f>ROUND(VLOOKUP(B77,Quant.!C:J,8,0),2)</f>
        <v>3914.01</v>
      </c>
      <c r="G77" s="94">
        <v>26.55</v>
      </c>
      <c r="H77" s="94">
        <f t="shared" si="9"/>
        <v>32.979999999999997</v>
      </c>
      <c r="I77" s="275">
        <f t="shared" si="10"/>
        <v>129084.05</v>
      </c>
      <c r="K77" s="1">
        <f t="shared" si="8"/>
        <v>103916.96550000001</v>
      </c>
      <c r="M77" s="404"/>
    </row>
    <row r="78" spans="2:13" ht="23.1" customHeight="1">
      <c r="B78" s="274" t="s">
        <v>124</v>
      </c>
      <c r="C78" s="5" t="s">
        <v>668</v>
      </c>
      <c r="D78" s="548" t="s">
        <v>307</v>
      </c>
      <c r="E78" s="5" t="s">
        <v>320</v>
      </c>
      <c r="F78" s="99">
        <f>ROUND(VLOOKUP(B78,Quant.!C:J,8,0),2)</f>
        <v>4125.8</v>
      </c>
      <c r="G78" s="94" t="s">
        <v>356</v>
      </c>
      <c r="H78" s="94">
        <f t="shared" si="9"/>
        <v>104.58</v>
      </c>
      <c r="I78" s="275">
        <f t="shared" si="10"/>
        <v>431476.16</v>
      </c>
      <c r="K78" s="1">
        <f t="shared" si="8"/>
        <v>347309.84400000004</v>
      </c>
      <c r="M78" s="404"/>
    </row>
    <row r="79" spans="2:13" ht="35.1" customHeight="1">
      <c r="B79" s="274" t="s">
        <v>125</v>
      </c>
      <c r="C79" s="5" t="s">
        <v>529</v>
      </c>
      <c r="D79" s="402" t="s">
        <v>629</v>
      </c>
      <c r="E79" s="5" t="s">
        <v>321</v>
      </c>
      <c r="F79" s="99">
        <f>ROUND(VLOOKUP(B79,Quant.!C:J,8,0),2)</f>
        <v>70750.259999999995</v>
      </c>
      <c r="G79" s="94">
        <v>0.86</v>
      </c>
      <c r="H79" s="94">
        <f t="shared" si="9"/>
        <v>1.07</v>
      </c>
      <c r="I79" s="275">
        <f t="shared" si="10"/>
        <v>75702.78</v>
      </c>
      <c r="K79" s="1">
        <f t="shared" si="8"/>
        <v>60845.223599999998</v>
      </c>
    </row>
    <row r="80" spans="2:13" ht="63" customHeight="1">
      <c r="B80" s="274" t="s">
        <v>127</v>
      </c>
      <c r="C80" s="5" t="s">
        <v>630</v>
      </c>
      <c r="D80" s="402" t="s">
        <v>631</v>
      </c>
      <c r="E80" s="5" t="s">
        <v>317</v>
      </c>
      <c r="F80" s="99">
        <f>ROUND(VLOOKUP(B80,Quant.!C:J,8,0),2)</f>
        <v>20243.900000000001</v>
      </c>
      <c r="G80" s="94">
        <v>3.25</v>
      </c>
      <c r="H80" s="94">
        <f t="shared" si="9"/>
        <v>4.04</v>
      </c>
      <c r="I80" s="275">
        <f t="shared" si="10"/>
        <v>81785.36</v>
      </c>
      <c r="K80" s="1">
        <f t="shared" si="8"/>
        <v>65792.675000000003</v>
      </c>
    </row>
    <row r="81" spans="2:13" ht="62.25" customHeight="1">
      <c r="B81" s="274" t="s">
        <v>337</v>
      </c>
      <c r="C81" s="5" t="s">
        <v>632</v>
      </c>
      <c r="D81" s="402" t="s">
        <v>633</v>
      </c>
      <c r="E81" s="5" t="s">
        <v>317</v>
      </c>
      <c r="F81" s="99">
        <f>ROUND(VLOOKUP(B81,Quant.!C:J,8,0),2)</f>
        <v>18960.3</v>
      </c>
      <c r="G81" s="94">
        <v>0.83</v>
      </c>
      <c r="H81" s="94">
        <f t="shared" si="9"/>
        <v>1.03</v>
      </c>
      <c r="I81" s="275">
        <f t="shared" si="10"/>
        <v>19529.11</v>
      </c>
      <c r="K81" s="1">
        <f t="shared" si="8"/>
        <v>15737.048999999999</v>
      </c>
    </row>
    <row r="82" spans="2:13" ht="83.25" customHeight="1">
      <c r="B82" s="274" t="s">
        <v>338</v>
      </c>
      <c r="C82" s="5" t="s">
        <v>634</v>
      </c>
      <c r="D82" s="402" t="s">
        <v>635</v>
      </c>
      <c r="E82" s="5" t="s">
        <v>320</v>
      </c>
      <c r="F82" s="99">
        <f>ROUND(VLOOKUP(B82,Quant.!C:J,8,0),2)</f>
        <v>872.31</v>
      </c>
      <c r="G82" s="94">
        <v>458.63</v>
      </c>
      <c r="H82" s="94">
        <f t="shared" si="9"/>
        <v>569.76</v>
      </c>
      <c r="I82" s="275">
        <f t="shared" si="10"/>
        <v>497007.35</v>
      </c>
      <c r="K82" s="1">
        <f t="shared" si="8"/>
        <v>400067.53529999999</v>
      </c>
    </row>
    <row r="83" spans="2:13" ht="50.25" customHeight="1">
      <c r="B83" s="274" t="s">
        <v>636</v>
      </c>
      <c r="C83" s="5" t="s">
        <v>667</v>
      </c>
      <c r="D83" s="402" t="s">
        <v>640</v>
      </c>
      <c r="E83" s="5" t="s">
        <v>639</v>
      </c>
      <c r="F83" s="99">
        <f>ROUND(VLOOKUP(B83,Quant.!C:J,8,0),2)</f>
        <v>2262.9</v>
      </c>
      <c r="G83" s="94">
        <v>0.86</v>
      </c>
      <c r="H83" s="94">
        <f t="shared" si="9"/>
        <v>1.07</v>
      </c>
      <c r="I83" s="275">
        <f t="shared" ref="I83" si="11">ROUND(F83*H83,2)</f>
        <v>2421.3000000000002</v>
      </c>
      <c r="K83" s="1">
        <f t="shared" ref="K83" si="12">G83*F83</f>
        <v>1946.0940000000001</v>
      </c>
      <c r="M83" s="404"/>
    </row>
    <row r="84" spans="2:13" ht="23.1" customHeight="1">
      <c r="B84" s="274"/>
      <c r="C84" s="390"/>
      <c r="D84" s="395"/>
      <c r="E84" s="396"/>
      <c r="F84" s="397"/>
      <c r="G84" s="398"/>
      <c r="H84" s="399"/>
      <c r="I84" s="400"/>
    </row>
    <row r="85" spans="2:13" ht="23.1" customHeight="1">
      <c r="B85" s="421">
        <v>7</v>
      </c>
      <c r="C85" s="422"/>
      <c r="D85" s="426" t="s">
        <v>623</v>
      </c>
      <c r="E85" s="390"/>
      <c r="F85" s="423"/>
      <c r="G85" s="390"/>
      <c r="H85" s="5"/>
      <c r="I85" s="424">
        <f>SUBTOTAL(9,I86:I92)</f>
        <v>829980.46</v>
      </c>
      <c r="K85" s="1">
        <f t="shared" si="8"/>
        <v>0</v>
      </c>
    </row>
    <row r="86" spans="2:13" ht="23.1" customHeight="1">
      <c r="B86" s="274" t="s">
        <v>59</v>
      </c>
      <c r="C86" s="5" t="s">
        <v>641</v>
      </c>
      <c r="D86" s="406" t="s">
        <v>642</v>
      </c>
      <c r="E86" s="5" t="s">
        <v>317</v>
      </c>
      <c r="F86" s="99">
        <f>ROUND(VLOOKUP(B86,Quant.!C:J,8,0),2)</f>
        <v>5731.61</v>
      </c>
      <c r="G86" s="94">
        <v>42.16</v>
      </c>
      <c r="H86" s="94">
        <f t="shared" ref="H86:H92" si="13">ROUND(G86*(1+$I$8),2)</f>
        <v>52.38</v>
      </c>
      <c r="I86" s="275">
        <f t="shared" ref="I86:I92" si="14">ROUND(F86*H86,2)</f>
        <v>300221.73</v>
      </c>
      <c r="K86" s="1">
        <f t="shared" si="8"/>
        <v>241644.67759999997</v>
      </c>
    </row>
    <row r="87" spans="2:13" ht="33.75" customHeight="1">
      <c r="B87" s="274" t="s">
        <v>60</v>
      </c>
      <c r="C87" s="5" t="s">
        <v>643</v>
      </c>
      <c r="D87" s="402" t="s">
        <v>644</v>
      </c>
      <c r="E87" s="5" t="s">
        <v>322</v>
      </c>
      <c r="F87" s="99">
        <f>ROUND(VLOOKUP(B87,Quant.!C:J,8,0),2)</f>
        <v>3594.68</v>
      </c>
      <c r="G87" s="94">
        <v>49.77</v>
      </c>
      <c r="H87" s="94">
        <f t="shared" si="13"/>
        <v>61.83</v>
      </c>
      <c r="I87" s="275">
        <f t="shared" si="14"/>
        <v>222259.06</v>
      </c>
      <c r="K87" s="1">
        <f t="shared" si="8"/>
        <v>178907.2236</v>
      </c>
    </row>
    <row r="88" spans="2:13" ht="23.1" customHeight="1">
      <c r="B88" s="274" t="s">
        <v>98</v>
      </c>
      <c r="C88" s="5" t="s">
        <v>645</v>
      </c>
      <c r="D88" s="402" t="s">
        <v>646</v>
      </c>
      <c r="E88" s="5" t="s">
        <v>322</v>
      </c>
      <c r="F88" s="99">
        <f>ROUND(VLOOKUP(B88,Quant.!C:J,8,0),2)</f>
        <v>2330.4</v>
      </c>
      <c r="G88" s="94">
        <v>18.739999999999998</v>
      </c>
      <c r="H88" s="94">
        <f t="shared" si="13"/>
        <v>23.28</v>
      </c>
      <c r="I88" s="275">
        <f t="shared" si="14"/>
        <v>54251.71</v>
      </c>
      <c r="K88" s="1">
        <f t="shared" si="8"/>
        <v>43671.695999999996</v>
      </c>
    </row>
    <row r="89" spans="2:13" ht="35.1" customHeight="1">
      <c r="B89" s="274" t="s">
        <v>116</v>
      </c>
      <c r="C89" s="413" t="s">
        <v>647</v>
      </c>
      <c r="D89" s="304" t="s">
        <v>648</v>
      </c>
      <c r="E89" s="5" t="s">
        <v>319</v>
      </c>
      <c r="F89" s="99">
        <f>ROUND(VLOOKUP(B89,Quant.!C:J,8,0),2)</f>
        <v>10</v>
      </c>
      <c r="G89" s="94">
        <v>263.95</v>
      </c>
      <c r="H89" s="94">
        <f t="shared" si="13"/>
        <v>327.91</v>
      </c>
      <c r="I89" s="275">
        <f t="shared" si="14"/>
        <v>3279.1</v>
      </c>
      <c r="K89" s="1">
        <f t="shared" si="8"/>
        <v>2639.5</v>
      </c>
    </row>
    <row r="90" spans="2:13" ht="23.1" customHeight="1">
      <c r="B90" s="274" t="s">
        <v>339</v>
      </c>
      <c r="C90" s="414" t="s">
        <v>649</v>
      </c>
      <c r="D90" s="304" t="s">
        <v>650</v>
      </c>
      <c r="E90" s="5" t="s">
        <v>317</v>
      </c>
      <c r="F90" s="99">
        <f>ROUND(VLOOKUP(B90,Quant.!C:J,8,0),2)</f>
        <v>9.6</v>
      </c>
      <c r="G90" s="94">
        <v>84.24</v>
      </c>
      <c r="H90" s="94">
        <f t="shared" si="13"/>
        <v>104.65</v>
      </c>
      <c r="I90" s="275">
        <f t="shared" si="14"/>
        <v>1004.64</v>
      </c>
      <c r="K90" s="1">
        <f t="shared" si="8"/>
        <v>808.70399999999995</v>
      </c>
    </row>
    <row r="91" spans="2:13" ht="23.1" customHeight="1">
      <c r="B91" s="274" t="s">
        <v>340</v>
      </c>
      <c r="C91" s="414" t="s">
        <v>587</v>
      </c>
      <c r="D91" s="304" t="s">
        <v>588</v>
      </c>
      <c r="E91" s="5" t="s">
        <v>317</v>
      </c>
      <c r="F91" s="99">
        <f>ROUND(VLOOKUP(B91,Quant.!C:J,8,0),2)</f>
        <v>5731.61</v>
      </c>
      <c r="G91" s="94">
        <v>2.2599999999999998</v>
      </c>
      <c r="H91" s="94">
        <f t="shared" si="13"/>
        <v>2.81</v>
      </c>
      <c r="I91" s="275">
        <f t="shared" si="14"/>
        <v>16105.82</v>
      </c>
      <c r="K91" s="1">
        <f t="shared" si="8"/>
        <v>12953.438599999998</v>
      </c>
    </row>
    <row r="92" spans="2:13" ht="50.1" customHeight="1">
      <c r="B92" s="274" t="s">
        <v>341</v>
      </c>
      <c r="C92" s="5" t="s">
        <v>666</v>
      </c>
      <c r="D92" s="303" t="s">
        <v>419</v>
      </c>
      <c r="E92" s="5" t="s">
        <v>317</v>
      </c>
      <c r="F92" s="99">
        <f>ROUND(VLOOKUP(B92,Quant.!C:J,8,0),2)</f>
        <v>1605.92</v>
      </c>
      <c r="G92" s="94">
        <v>116.72</v>
      </c>
      <c r="H92" s="94">
        <f t="shared" si="13"/>
        <v>145</v>
      </c>
      <c r="I92" s="275">
        <f t="shared" si="14"/>
        <v>232858.4</v>
      </c>
      <c r="K92" s="1">
        <f t="shared" si="8"/>
        <v>187442.98240000001</v>
      </c>
      <c r="M92" s="404"/>
    </row>
    <row r="93" spans="2:13" ht="23.1" customHeight="1">
      <c r="B93" s="274"/>
      <c r="C93" s="390"/>
      <c r="D93" s="395"/>
      <c r="E93" s="396"/>
      <c r="F93" s="397"/>
      <c r="G93" s="398"/>
      <c r="H93" s="399"/>
      <c r="I93" s="400"/>
    </row>
    <row r="94" spans="2:13" ht="23.1" customHeight="1">
      <c r="B94" s="421">
        <v>8</v>
      </c>
      <c r="C94" s="422"/>
      <c r="D94" s="426" t="s">
        <v>624</v>
      </c>
      <c r="E94" s="390"/>
      <c r="F94" s="423"/>
      <c r="G94" s="390"/>
      <c r="H94" s="5"/>
      <c r="I94" s="424">
        <f>SUBTOTAL(9,I95:I100)</f>
        <v>334058.92</v>
      </c>
      <c r="K94" s="1">
        <f t="shared" si="8"/>
        <v>0</v>
      </c>
    </row>
    <row r="95" spans="2:13" ht="35.1" customHeight="1">
      <c r="B95" s="274" t="s">
        <v>89</v>
      </c>
      <c r="C95" s="413" t="s">
        <v>651</v>
      </c>
      <c r="D95" s="304" t="s">
        <v>652</v>
      </c>
      <c r="E95" s="5" t="s">
        <v>317</v>
      </c>
      <c r="F95" s="99">
        <f>ROUND(VLOOKUP(B95,Quant.!C:J,8,0),2)</f>
        <v>15881.22</v>
      </c>
      <c r="G95" s="94">
        <v>16.690000000000001</v>
      </c>
      <c r="H95" s="94">
        <f t="shared" ref="H95:H100" si="15">ROUND(G95*(1+$I$8),2)</f>
        <v>20.73</v>
      </c>
      <c r="I95" s="275">
        <f>ROUND(F95*H95,2)</f>
        <v>329217.69</v>
      </c>
      <c r="K95" s="1">
        <f t="shared" si="8"/>
        <v>265057.56180000002</v>
      </c>
    </row>
    <row r="96" spans="2:13" ht="35.1" customHeight="1">
      <c r="B96" s="274" t="s">
        <v>90</v>
      </c>
      <c r="C96" s="413" t="s">
        <v>653</v>
      </c>
      <c r="D96" s="304" t="s">
        <v>654</v>
      </c>
      <c r="E96" s="5" t="s">
        <v>319</v>
      </c>
      <c r="F96" s="99">
        <f>ROUND(VLOOKUP(B96,Quant.!C:J,8,0),2)</f>
        <v>27</v>
      </c>
      <c r="G96" s="94">
        <v>6.42</v>
      </c>
      <c r="H96" s="94">
        <f t="shared" si="15"/>
        <v>7.98</v>
      </c>
      <c r="I96" s="275">
        <f>ROUND(F96*H96,2)</f>
        <v>215.46</v>
      </c>
      <c r="K96" s="1">
        <f t="shared" ref="K96:K105" si="16">G96*F96</f>
        <v>173.34</v>
      </c>
    </row>
    <row r="97" spans="2:13" ht="35.1" customHeight="1">
      <c r="B97" s="274" t="s">
        <v>104</v>
      </c>
      <c r="C97" s="413" t="s">
        <v>657</v>
      </c>
      <c r="D97" s="304" t="s">
        <v>658</v>
      </c>
      <c r="E97" s="5" t="s">
        <v>319</v>
      </c>
      <c r="F97" s="99">
        <f>ROUND(VLOOKUP(B97,Quant.!C:J,8,0),2)</f>
        <v>34</v>
      </c>
      <c r="G97" s="94">
        <v>7.13</v>
      </c>
      <c r="H97" s="94">
        <f t="shared" si="15"/>
        <v>8.86</v>
      </c>
      <c r="I97" s="275">
        <f>ROUND(F97*H97,2)</f>
        <v>301.24</v>
      </c>
      <c r="K97" s="1">
        <f t="shared" si="16"/>
        <v>242.42</v>
      </c>
    </row>
    <row r="98" spans="2:13" ht="23.1" customHeight="1">
      <c r="B98" s="274" t="s">
        <v>655</v>
      </c>
      <c r="C98" s="5" t="s">
        <v>661</v>
      </c>
      <c r="D98" s="402" t="s">
        <v>660</v>
      </c>
      <c r="E98" s="5" t="s">
        <v>319</v>
      </c>
      <c r="F98" s="99">
        <f>ROUND(VLOOKUP(B98,Quant.!C:J,8,0),2)</f>
        <v>34</v>
      </c>
      <c r="G98" s="94">
        <v>101.33</v>
      </c>
      <c r="H98" s="94">
        <f t="shared" si="15"/>
        <v>125.88</v>
      </c>
      <c r="I98" s="275">
        <f t="shared" ref="I98:I100" si="17">ROUND(F98*H98,2)</f>
        <v>4279.92</v>
      </c>
    </row>
    <row r="99" spans="2:13" ht="23.1" customHeight="1">
      <c r="B99" s="274" t="s">
        <v>656</v>
      </c>
      <c r="C99" s="5" t="s">
        <v>662</v>
      </c>
      <c r="D99" s="402" t="s">
        <v>663</v>
      </c>
      <c r="E99" s="5" t="s">
        <v>319</v>
      </c>
      <c r="F99" s="99">
        <f>ROUND(VLOOKUP(B99,Quant.!C:J,8,0),2)</f>
        <v>12</v>
      </c>
      <c r="G99" s="94">
        <v>2</v>
      </c>
      <c r="H99" s="94">
        <f t="shared" si="15"/>
        <v>2.48</v>
      </c>
      <c r="I99" s="275">
        <f t="shared" si="17"/>
        <v>29.76</v>
      </c>
    </row>
    <row r="100" spans="2:13" ht="23.1" customHeight="1">
      <c r="B100" s="274" t="s">
        <v>659</v>
      </c>
      <c r="C100" s="5" t="s">
        <v>664</v>
      </c>
      <c r="D100" s="402" t="s">
        <v>665</v>
      </c>
      <c r="E100" s="5" t="s">
        <v>319</v>
      </c>
      <c r="F100" s="99">
        <f>ROUND(VLOOKUP(B100,Quant.!C:J,8,0),2)</f>
        <v>15</v>
      </c>
      <c r="G100" s="94">
        <v>0.8</v>
      </c>
      <c r="H100" s="94">
        <f t="shared" si="15"/>
        <v>0.99</v>
      </c>
      <c r="I100" s="275">
        <f t="shared" si="17"/>
        <v>14.85</v>
      </c>
    </row>
    <row r="101" spans="2:13" ht="23.1" customHeight="1">
      <c r="B101" s="274"/>
      <c r="C101" s="390"/>
      <c r="D101" s="395"/>
      <c r="E101" s="396"/>
      <c r="F101" s="397"/>
      <c r="G101" s="398"/>
      <c r="H101" s="399"/>
      <c r="I101" s="400"/>
    </row>
    <row r="102" spans="2:13" ht="23.1" customHeight="1">
      <c r="B102" s="421">
        <v>9</v>
      </c>
      <c r="C102" s="422"/>
      <c r="D102" s="426" t="s">
        <v>625</v>
      </c>
      <c r="E102" s="390"/>
      <c r="F102" s="423"/>
      <c r="G102" s="390"/>
      <c r="H102" s="5"/>
      <c r="I102" s="424">
        <f>SUBTOTAL(9,I103:I105)</f>
        <v>12065.789999999999</v>
      </c>
      <c r="K102" s="1">
        <f t="shared" si="16"/>
        <v>0</v>
      </c>
    </row>
    <row r="103" spans="2:13" ht="23.1" customHeight="1">
      <c r="B103" s="274" t="s">
        <v>61</v>
      </c>
      <c r="C103" s="414" t="s">
        <v>672</v>
      </c>
      <c r="D103" s="402" t="s">
        <v>308</v>
      </c>
      <c r="E103" s="5" t="s">
        <v>319</v>
      </c>
      <c r="F103" s="99">
        <f>ROUND(VLOOKUP(B103,Quant.!C:J,8,0),2)</f>
        <v>21</v>
      </c>
      <c r="G103" s="94">
        <v>84.8</v>
      </c>
      <c r="H103" s="94">
        <f>ROUND(G103*(1+$I$8),2)</f>
        <v>105.35</v>
      </c>
      <c r="I103" s="275">
        <f>ROUND(F103*H103,2)</f>
        <v>2212.35</v>
      </c>
      <c r="K103" s="1">
        <f t="shared" si="16"/>
        <v>1780.8</v>
      </c>
      <c r="M103" s="404"/>
    </row>
    <row r="104" spans="2:13" ht="35.1" customHeight="1">
      <c r="B104" s="274" t="s">
        <v>342</v>
      </c>
      <c r="C104" s="5" t="s">
        <v>673</v>
      </c>
      <c r="D104" s="402" t="s">
        <v>309</v>
      </c>
      <c r="E104" s="5" t="s">
        <v>317</v>
      </c>
      <c r="F104" s="99">
        <f>ROUND(VLOOKUP(B104,Quant.!C:J,8,0),2)</f>
        <v>307.36</v>
      </c>
      <c r="G104" s="94">
        <v>18.02</v>
      </c>
      <c r="H104" s="94">
        <f>ROUND(G104*(1+$I$8),2)</f>
        <v>22.39</v>
      </c>
      <c r="I104" s="275">
        <f>ROUND(F104*H104,2)</f>
        <v>6881.79</v>
      </c>
      <c r="K104" s="1">
        <f t="shared" si="16"/>
        <v>5538.6271999999999</v>
      </c>
      <c r="M104" s="404"/>
    </row>
    <row r="105" spans="2:13" ht="23.1" customHeight="1" thickBot="1">
      <c r="B105" s="289" t="s">
        <v>343</v>
      </c>
      <c r="C105" s="427" t="s">
        <v>674</v>
      </c>
      <c r="D105" s="401" t="s">
        <v>315</v>
      </c>
      <c r="E105" s="427" t="s">
        <v>317</v>
      </c>
      <c r="F105" s="428">
        <f>ROUND(VLOOKUP(B105,Quant.!C:J,8,0),2)</f>
        <v>8.36</v>
      </c>
      <c r="G105" s="429">
        <v>286.13</v>
      </c>
      <c r="H105" s="429">
        <f>ROUND(G105*(1+$I$8),2)</f>
        <v>355.46</v>
      </c>
      <c r="I105" s="275">
        <f>ROUND(F105*H105,2)</f>
        <v>2971.65</v>
      </c>
      <c r="K105" s="1">
        <f t="shared" si="16"/>
        <v>2392.0467999999996</v>
      </c>
      <c r="M105" s="404"/>
    </row>
    <row r="106" spans="2:13" ht="20.100000000000001" customHeight="1" thickBot="1">
      <c r="B106" s="587" t="s">
        <v>487</v>
      </c>
      <c r="C106" s="588"/>
      <c r="D106" s="588"/>
      <c r="E106" s="588"/>
      <c r="F106" s="588"/>
      <c r="G106" s="588"/>
      <c r="H106" s="589"/>
      <c r="I106" s="546">
        <f>SUBTOTAL(9,I11:I105)</f>
        <v>5323674.879999999</v>
      </c>
    </row>
    <row r="107" spans="2:13" s="4" customFormat="1" ht="20.100000000000001" customHeight="1">
      <c r="F107" s="460"/>
      <c r="I107" s="461"/>
    </row>
    <row r="108" spans="2:13" s="4" customFormat="1" ht="20.100000000000001" customHeight="1">
      <c r="F108" s="586" t="s">
        <v>766</v>
      </c>
      <c r="G108" s="586"/>
      <c r="I108" s="461"/>
    </row>
    <row r="109" spans="2:13" s="4" customFormat="1" ht="22.5" customHeight="1">
      <c r="C109" s="599" t="s">
        <v>767</v>
      </c>
      <c r="D109" s="599"/>
      <c r="E109" s="462"/>
      <c r="F109" s="599" t="s">
        <v>486</v>
      </c>
      <c r="G109" s="599"/>
      <c r="H109" s="463"/>
      <c r="I109" s="461"/>
    </row>
    <row r="110" spans="2:13" s="4" customFormat="1" ht="15">
      <c r="C110" s="464"/>
      <c r="D110" s="464"/>
      <c r="E110" s="464"/>
      <c r="F110" s="464"/>
      <c r="G110" s="464"/>
      <c r="H110" s="464"/>
      <c r="I110" s="461"/>
    </row>
    <row r="111" spans="2:13" s="4" customFormat="1" ht="15">
      <c r="C111" s="464"/>
      <c r="D111" s="464"/>
      <c r="E111" s="464"/>
      <c r="F111" s="464"/>
      <c r="G111" s="464"/>
      <c r="H111" s="464"/>
      <c r="I111" s="461"/>
    </row>
    <row r="112" spans="2:13" s="4" customFormat="1" ht="15">
      <c r="C112" s="464"/>
      <c r="D112" s="464"/>
      <c r="E112" s="464"/>
      <c r="F112" s="464"/>
      <c r="G112" s="464"/>
      <c r="H112" s="464"/>
      <c r="I112" s="461"/>
    </row>
    <row r="113" spans="3:9" s="4" customFormat="1" ht="15">
      <c r="C113" s="600"/>
      <c r="D113" s="600"/>
      <c r="E113" s="462"/>
      <c r="F113" s="601"/>
      <c r="G113" s="601"/>
      <c r="H113" s="463"/>
      <c r="I113" s="465"/>
    </row>
    <row r="114" spans="3:9" s="4" customFormat="1" ht="15">
      <c r="C114" s="599" t="s">
        <v>769</v>
      </c>
      <c r="D114" s="599"/>
      <c r="E114" s="462"/>
      <c r="F114" s="601"/>
      <c r="G114" s="601"/>
      <c r="H114" s="463"/>
      <c r="I114" s="461"/>
    </row>
    <row r="115" spans="3:9" s="4" customFormat="1" ht="15">
      <c r="C115" s="463"/>
      <c r="D115" s="463"/>
      <c r="E115" s="462"/>
      <c r="F115" s="463"/>
      <c r="G115" s="463"/>
      <c r="H115" s="463"/>
    </row>
    <row r="116" spans="3:9" s="4" customFormat="1" ht="15">
      <c r="C116" s="466"/>
      <c r="D116" s="466"/>
      <c r="E116" s="466"/>
      <c r="F116" s="466"/>
      <c r="G116" s="466"/>
      <c r="H116" s="466"/>
      <c r="I116" s="461"/>
    </row>
    <row r="117" spans="3:9" s="4" customFormat="1" ht="15">
      <c r="C117" s="466"/>
      <c r="D117" s="466"/>
      <c r="E117" s="466"/>
      <c r="F117" s="466"/>
      <c r="G117" s="466"/>
      <c r="H117" s="466"/>
      <c r="I117" s="461"/>
    </row>
    <row r="118" spans="3:9" s="4" customFormat="1" ht="15">
      <c r="C118" s="466"/>
      <c r="D118" s="466"/>
      <c r="E118" s="466"/>
      <c r="F118" s="466"/>
      <c r="G118" s="466"/>
      <c r="H118" s="466"/>
      <c r="I118" s="461"/>
    </row>
    <row r="119" spans="3:9" s="4" customFormat="1" ht="15">
      <c r="F119" s="460"/>
      <c r="I119" s="461"/>
    </row>
    <row r="120" spans="3:9" s="4" customFormat="1" ht="15">
      <c r="F120" s="460"/>
      <c r="I120" s="461"/>
    </row>
    <row r="121" spans="3:9" s="4" customFormat="1" ht="15">
      <c r="F121" s="460"/>
      <c r="I121" s="461"/>
    </row>
  </sheetData>
  <mergeCells count="25">
    <mergeCell ref="B2:I2"/>
    <mergeCell ref="F7:F8"/>
    <mergeCell ref="G7:G8"/>
    <mergeCell ref="F6:I6"/>
    <mergeCell ref="H7:I7"/>
    <mergeCell ref="F4:I4"/>
    <mergeCell ref="F5:I5"/>
    <mergeCell ref="B4:E4"/>
    <mergeCell ref="B5:E5"/>
    <mergeCell ref="B6:E6"/>
    <mergeCell ref="B7:E7"/>
    <mergeCell ref="B8:E8"/>
    <mergeCell ref="C109:D109"/>
    <mergeCell ref="F109:G109"/>
    <mergeCell ref="C113:D113"/>
    <mergeCell ref="F113:G113"/>
    <mergeCell ref="C114:D114"/>
    <mergeCell ref="F114:G114"/>
    <mergeCell ref="F108:G108"/>
    <mergeCell ref="B106:H106"/>
    <mergeCell ref="M4:Q4"/>
    <mergeCell ref="M5:Q5"/>
    <mergeCell ref="M7:Q7"/>
    <mergeCell ref="M8:Q8"/>
    <mergeCell ref="M6:Q6"/>
  </mergeCells>
  <phoneticPr fontId="9" type="noConversion"/>
  <conditionalFormatting sqref="D95:D97 F91 F95:F101 F72:F75 F42:F69 I42:I70 B107:H107 E26:H26 E29:I29 F12:F25 F33:F39 I12:I28 I30:I31 I33:I40 I72:I84 I86:I93 I95:I101 F103:F105 I103:I65513 C104:C105 B86:B93 C87:E88 B95:B101 B70:F70 B40:F40 D27:F28 B12:B25 B26:C29 B30:F31 B84:F84 B93:F93 B101:F101 B103:B105 D103:D105 B10:I10 B1:I1 B5:E9 H6:H7 I8 G6:G9 I6 F4:F5 B2:B8 B109:H65513 B108:F108 H108">
    <cfRule type="expression" dxfId="424" priority="25156" stopIfTrue="1">
      <formula>#REF!="y"</formula>
    </cfRule>
    <cfRule type="expression" dxfId="423" priority="25157" stopIfTrue="1">
      <formula>#REF!="x"</formula>
    </cfRule>
  </conditionalFormatting>
  <conditionalFormatting sqref="I106">
    <cfRule type="expression" dxfId="422" priority="3">
      <formula>$A106="z"</formula>
    </cfRule>
  </conditionalFormatting>
  <conditionalFormatting sqref="C109:H118">
    <cfRule type="expression" dxfId="421" priority="2">
      <formula>$A109="z"</formula>
    </cfRule>
  </conditionalFormatting>
  <conditionalFormatting sqref="F7:G8">
    <cfRule type="expression" dxfId="420" priority="1">
      <formula>$A7="z"</formula>
    </cfRule>
  </conditionalFormatting>
  <printOptions horizontalCentered="1"/>
  <pageMargins left="0.23622047244094491" right="0.23622047244094491" top="0.74803149606299213" bottom="0.74803149606299213" header="2.204724409448819" footer="0.31496062992125984"/>
  <pageSetup paperSize="9" scale="63" fitToHeight="0" orientation="landscape" r:id="rId1"/>
  <headerFooter alignWithMargins="0">
    <oddHeader>&amp;R&amp;P / &amp;N</oddHeader>
  </headerFooter>
  <drawing r:id="rId2"/>
</worksheet>
</file>

<file path=xl/worksheets/sheet2.xml><?xml version="1.0" encoding="utf-8"?>
<worksheet xmlns="http://schemas.openxmlformats.org/spreadsheetml/2006/main" xmlns:r="http://schemas.openxmlformats.org/officeDocument/2006/relationships">
  <sheetPr codeName="Plan2"/>
  <dimension ref="C1:V311"/>
  <sheetViews>
    <sheetView showGridLines="0" view="pageBreakPreview" zoomScale="70" zoomScaleNormal="80" zoomScaleSheetLayoutView="70" workbookViewId="0">
      <selection activeCell="N3" sqref="N3"/>
    </sheetView>
  </sheetViews>
  <sheetFormatPr defaultColWidth="11.42578125" defaultRowHeight="24.75" customHeight="1"/>
  <cols>
    <col min="1" max="1" width="3.28515625" style="7" customWidth="1"/>
    <col min="2" max="2" width="1.7109375" style="7" customWidth="1"/>
    <col min="3" max="3" width="13.7109375" style="7" customWidth="1"/>
    <col min="4" max="4" width="24.85546875" style="7" customWidth="1"/>
    <col min="5" max="5" width="18.140625" style="7" customWidth="1"/>
    <col min="6" max="6" width="23.42578125" style="7" customWidth="1"/>
    <col min="7" max="7" width="24.140625" style="7" customWidth="1"/>
    <col min="8" max="8" width="18.42578125" style="8" customWidth="1"/>
    <col min="9" max="9" width="12.42578125" style="7" customWidth="1"/>
    <col min="10" max="10" width="21" style="2" customWidth="1"/>
    <col min="11" max="11" width="1.140625" style="7" customWidth="1"/>
    <col min="12" max="12" width="8.42578125" style="7" customWidth="1"/>
    <col min="13" max="13" width="9.85546875" style="7" bestFit="1" customWidth="1"/>
    <col min="14" max="14" width="11" style="7" bestFit="1" customWidth="1"/>
    <col min="15" max="16384" width="11.42578125" style="7"/>
  </cols>
  <sheetData>
    <row r="1" spans="3:10" ht="14.25" customHeight="1"/>
    <row r="2" spans="3:10" ht="89.25" customHeight="1"/>
    <row r="3" spans="3:10" ht="30.75" customHeight="1">
      <c r="C3" s="638" t="s">
        <v>357</v>
      </c>
      <c r="D3" s="639"/>
      <c r="E3" s="639"/>
      <c r="F3" s="639"/>
      <c r="G3" s="639"/>
      <c r="H3" s="639"/>
      <c r="I3" s="639"/>
      <c r="J3" s="640"/>
    </row>
    <row r="4" spans="3:10" ht="11.25" customHeight="1">
      <c r="C4" s="536"/>
      <c r="D4" s="536"/>
      <c r="E4" s="536"/>
      <c r="F4" s="536"/>
      <c r="G4" s="536"/>
      <c r="H4" s="536"/>
      <c r="I4" s="536"/>
      <c r="J4" s="536"/>
    </row>
    <row r="5" spans="3:10" ht="24.95" customHeight="1">
      <c r="C5" s="613" t="str">
        <f>Orçamento!B4</f>
        <v>PREFEITURA: Prefeitura Municipal de Pouso Alegre</v>
      </c>
      <c r="D5" s="613"/>
      <c r="E5" s="613"/>
      <c r="F5" s="613"/>
      <c r="G5" s="613"/>
      <c r="H5" s="613"/>
      <c r="I5" s="614" t="s">
        <v>350</v>
      </c>
      <c r="J5" s="616"/>
    </row>
    <row r="6" spans="3:10" ht="24.95" customHeight="1">
      <c r="C6" s="613" t="str">
        <f>Orçamento!B5</f>
        <v>OBRA: Pavimentação e Drenagem da Via Noroeste 1º Etapa</v>
      </c>
      <c r="D6" s="613"/>
      <c r="E6" s="613"/>
      <c r="F6" s="613"/>
      <c r="G6" s="613"/>
      <c r="H6" s="613"/>
      <c r="I6" s="468" t="str">
        <f>Orçamento!F5</f>
        <v>DATA: 10/11/2016</v>
      </c>
      <c r="J6" s="537"/>
    </row>
    <row r="7" spans="3:10" ht="24.95" customHeight="1">
      <c r="C7" s="613" t="str">
        <f>Orçamento!B6</f>
        <v>LOCAL: Av. Noroeste, Bairro Ribeirão das Mortes</v>
      </c>
      <c r="D7" s="613"/>
      <c r="E7" s="613"/>
      <c r="F7" s="613"/>
      <c r="G7" s="613"/>
      <c r="H7" s="613"/>
      <c r="I7" s="613"/>
      <c r="J7" s="613"/>
    </row>
    <row r="8" spans="3:10" ht="24.95" customHeight="1">
      <c r="C8" s="613" t="str">
        <f>Orçamento!B8</f>
        <v>PRAZO DE EXECUÇÃO: 4 Meses</v>
      </c>
      <c r="D8" s="613"/>
      <c r="E8" s="613"/>
      <c r="F8" s="613"/>
      <c r="G8" s="613"/>
      <c r="H8" s="613"/>
      <c r="I8" s="613"/>
      <c r="J8" s="613"/>
    </row>
    <row r="9" spans="3:10" ht="11.25" customHeight="1">
      <c r="C9" s="536"/>
      <c r="D9" s="536"/>
      <c r="E9" s="536"/>
      <c r="F9" s="536"/>
      <c r="G9" s="536"/>
      <c r="H9" s="536"/>
      <c r="I9" s="536"/>
      <c r="J9" s="536"/>
    </row>
    <row r="10" spans="3:10" ht="31.5" customHeight="1">
      <c r="C10" s="372" t="s">
        <v>3</v>
      </c>
      <c r="D10" s="647" t="s">
        <v>2</v>
      </c>
      <c r="E10" s="647"/>
      <c r="F10" s="647"/>
      <c r="G10" s="647"/>
      <c r="H10" s="647"/>
      <c r="I10" s="372" t="s">
        <v>31</v>
      </c>
      <c r="J10" s="384" t="s">
        <v>6</v>
      </c>
    </row>
    <row r="11" spans="3:10" ht="24.95" customHeight="1">
      <c r="C11" s="283">
        <v>1</v>
      </c>
      <c r="D11" s="648" t="str">
        <f>VLOOKUP($C11,Orçamento!B:I,3,0)</f>
        <v>CANTEIRO DE OBRAS</v>
      </c>
      <c r="E11" s="648"/>
      <c r="F11" s="648"/>
      <c r="G11" s="648"/>
      <c r="H11" s="648"/>
      <c r="I11" s="369"/>
      <c r="J11" s="273"/>
    </row>
    <row r="12" spans="3:10" ht="35.1" customHeight="1">
      <c r="C12" s="43" t="s">
        <v>17</v>
      </c>
      <c r="D12" s="646" t="str">
        <f>VLOOKUP($C12,Orçamento!B:I,3,0)</f>
        <v>CONTAINER 6,00 X 2,30 X 2,50 M COM ISOLAMENTO TÉRMICO - ESCRITÓRIO COM AR CONDICIONADO E SANITÁRIO COMPLETO</v>
      </c>
      <c r="E12" s="646"/>
      <c r="F12" s="646"/>
      <c r="G12" s="646"/>
      <c r="H12" s="646"/>
      <c r="I12" s="305" t="str">
        <f>VLOOKUP($C12,Orçamento!B:I,4,0)</f>
        <v>MÊS</v>
      </c>
      <c r="J12" s="271">
        <f>E17</f>
        <v>8</v>
      </c>
    </row>
    <row r="13" spans="3:10" ht="20.100000000000001" customHeight="1">
      <c r="C13" s="96"/>
      <c r="D13" s="106"/>
      <c r="E13" s="106"/>
      <c r="F13" s="106"/>
      <c r="G13" s="106"/>
      <c r="H13" s="106"/>
      <c r="I13" s="106"/>
      <c r="J13" s="268"/>
    </row>
    <row r="14" spans="3:10" ht="20.100000000000001" customHeight="1">
      <c r="C14" s="630" t="s">
        <v>401</v>
      </c>
      <c r="D14" s="631"/>
      <c r="E14" s="631"/>
      <c r="F14" s="631"/>
      <c r="G14" s="631"/>
      <c r="H14" s="631"/>
      <c r="I14" s="631"/>
      <c r="J14" s="632"/>
    </row>
    <row r="15" spans="3:10" ht="20.100000000000001" customHeight="1">
      <c r="C15" s="206"/>
      <c r="D15" s="12" t="s">
        <v>14</v>
      </c>
      <c r="E15" s="13">
        <v>2</v>
      </c>
      <c r="F15" s="12" t="s">
        <v>29</v>
      </c>
      <c r="G15" s="12"/>
      <c r="H15" s="12"/>
      <c r="I15" s="207"/>
      <c r="J15" s="262"/>
    </row>
    <row r="16" spans="3:10" ht="20.100000000000001" customHeight="1">
      <c r="C16" s="206"/>
      <c r="D16" s="12" t="s">
        <v>471</v>
      </c>
      <c r="E16" s="13">
        <v>4</v>
      </c>
      <c r="F16" s="12" t="s">
        <v>30</v>
      </c>
      <c r="G16" s="12"/>
      <c r="H16" s="12"/>
      <c r="I16" s="207"/>
      <c r="J16" s="262"/>
    </row>
    <row r="17" spans="3:10" ht="20.100000000000001" customHeight="1">
      <c r="C17" s="206"/>
      <c r="D17" s="12" t="s">
        <v>410</v>
      </c>
      <c r="E17" s="203">
        <f>E15*E16</f>
        <v>8</v>
      </c>
      <c r="F17" s="12" t="s">
        <v>30</v>
      </c>
      <c r="G17" s="12"/>
      <c r="H17" s="12"/>
      <c r="I17" s="207"/>
      <c r="J17" s="262"/>
    </row>
    <row r="18" spans="3:10" ht="20.100000000000001" customHeight="1">
      <c r="C18" s="281"/>
      <c r="D18" s="279" t="s">
        <v>470</v>
      </c>
      <c r="E18" s="202"/>
      <c r="F18" s="202"/>
      <c r="G18" s="202"/>
      <c r="H18" s="202"/>
      <c r="I18" s="202"/>
      <c r="J18" s="282"/>
    </row>
    <row r="19" spans="3:10" ht="20.100000000000001" customHeight="1">
      <c r="C19" s="208"/>
      <c r="D19" s="107"/>
      <c r="E19" s="107"/>
      <c r="F19" s="107"/>
      <c r="G19" s="107"/>
      <c r="H19" s="107"/>
      <c r="I19" s="209"/>
      <c r="J19" s="266"/>
    </row>
    <row r="20" spans="3:10" ht="24.95" customHeight="1">
      <c r="C20" s="11" t="s">
        <v>18</v>
      </c>
      <c r="D20" s="621" t="str">
        <f>VLOOKUP($C20,Orçamento!B:I,3,0)</f>
        <v>MOBILIZAÇÃO E DESMOBILIZAÇÃO DE CONTAINER</v>
      </c>
      <c r="E20" s="621"/>
      <c r="F20" s="621"/>
      <c r="G20" s="621"/>
      <c r="H20" s="621"/>
      <c r="I20" s="547" t="str">
        <f>VLOOKUP($C20,Orçamento!B:I,4,0)</f>
        <v>MÊS</v>
      </c>
      <c r="J20" s="270">
        <f>E15*2</f>
        <v>4</v>
      </c>
    </row>
    <row r="21" spans="3:10" ht="48" customHeight="1">
      <c r="C21" s="11" t="s">
        <v>19</v>
      </c>
      <c r="D21" s="621" t="str">
        <f>VLOOKUP($C21,Orçamento!B:I,3,0)</f>
        <v>BARRACÃO DEPÓSITO E FERRAMENTARIA TIPO I, A = 14,52 M2 (OBRA DE
PEQUENO PORTE, EFETIVO ATÉ 30 HOMENS), INCLUSIVE MOBILIÁRIO -
PADRÃO DEOP</v>
      </c>
      <c r="E21" s="621"/>
      <c r="F21" s="621"/>
      <c r="G21" s="621"/>
      <c r="H21" s="621"/>
      <c r="I21" s="547" t="str">
        <f>VLOOKUP($C21,Orçamento!B:I,4,0)</f>
        <v xml:space="preserve">UN </v>
      </c>
      <c r="J21" s="270">
        <v>1</v>
      </c>
    </row>
    <row r="22" spans="3:10" ht="35.1" customHeight="1">
      <c r="C22" s="11" t="s">
        <v>20</v>
      </c>
      <c r="D22" s="621" t="str">
        <f>VLOOKUP($C22,Orçamento!B:I,3,0)</f>
        <v>BARRACÃO REFEITÓRIO TIPO I, A = 18,15 M2 (OBRA DE MÉDIO PORTE,
EFETIVO DE 30 A 60 HOMENS) - PADRÃO DEOP</v>
      </c>
      <c r="E22" s="621"/>
      <c r="F22" s="621"/>
      <c r="G22" s="621"/>
      <c r="H22" s="621"/>
      <c r="I22" s="547" t="str">
        <f>VLOOKUP($C22,Orçamento!B:I,4,0)</f>
        <v xml:space="preserve">UN </v>
      </c>
      <c r="J22" s="270">
        <v>1</v>
      </c>
    </row>
    <row r="23" spans="3:10" ht="35.1" customHeight="1">
      <c r="C23" s="547" t="s">
        <v>21</v>
      </c>
      <c r="D23" s="620" t="str">
        <f>VLOOKUP($C23,Orçamento!B:I,3,0)</f>
        <v>BARRACÃO INSTALAÇÃO SANITÁRIA TIPO I, A = 14,52 M2 (OBRA DE
PEQUENO PORTE, EFETIVO ATÉ 30 HOMENS) - PADRÃO DEOP</v>
      </c>
      <c r="E23" s="620"/>
      <c r="F23" s="620"/>
      <c r="G23" s="620"/>
      <c r="H23" s="620"/>
      <c r="I23" s="547" t="str">
        <f>VLOOKUP($C23,Orçamento!B:I,4,0)</f>
        <v xml:space="preserve">UN </v>
      </c>
      <c r="J23" s="273">
        <v>1</v>
      </c>
    </row>
    <row r="24" spans="3:10" ht="101.25" customHeight="1">
      <c r="C24" s="547" t="s">
        <v>22</v>
      </c>
      <c r="D24" s="620" t="str">
        <f>VLOOKUP($C24,Orçamento!B:I,3,0)</f>
        <v>FORNECIMENTO E COLOCAÇÃO DE PLACAS DE OBRAS EM CHAPA GALVANIZADA (4,00 X 2,00 M ) SÃO CONFECCIONADAS EM CHAPA GALVANIZADA 26. AS CHAPAS SERÃO AFIXADAS COM REBITES 410 E PARAFUSOS 3/8, EM UMA ESTRUTURA METÁLICA COM VIGA U 2" ENRIJECIDA E METALON 20MMX20MM, SUPORTE EM EUCALIPTO AUTOCLAVADO PINTADAS NE FRENTE E NO VERSO COM FUNDO ANTICORROSIVO E TINTA AUTOMOTIVA, CONFORME MANUAL DE IDENTIDADE VISUAL DO GOVERNO DE MINAS</v>
      </c>
      <c r="E24" s="620"/>
      <c r="F24" s="620"/>
      <c r="G24" s="620"/>
      <c r="H24" s="620"/>
      <c r="I24" s="547" t="str">
        <f>VLOOKUP($C24,Orçamento!B:I,4,0)</f>
        <v xml:space="preserve">UN </v>
      </c>
      <c r="J24" s="273">
        <v>1</v>
      </c>
    </row>
    <row r="25" spans="3:10" ht="24.95" customHeight="1">
      <c r="C25" s="6" t="s">
        <v>23</v>
      </c>
      <c r="D25" s="620" t="str">
        <f>VLOOKUP($C25,Orçamento!B:I,3,0)</f>
        <v>CONE EM PVC H = 75 CM</v>
      </c>
      <c r="E25" s="620"/>
      <c r="F25" s="620"/>
      <c r="G25" s="620"/>
      <c r="H25" s="620"/>
      <c r="I25" s="547" t="str">
        <f>VLOOKUP($C25,Orçamento!B:I,4,0)</f>
        <v xml:space="preserve">UN </v>
      </c>
      <c r="J25" s="273">
        <v>150</v>
      </c>
    </row>
    <row r="26" spans="3:10" ht="24.95" customHeight="1">
      <c r="C26" s="385" t="s">
        <v>52</v>
      </c>
      <c r="D26" s="620" t="str">
        <f>VLOOKUP($C26,Orçamento!B:I,3,0)</f>
        <v>FITA ZEBRADA AMARELA PARA SINALIZAÇÃO L = 7 M</v>
      </c>
      <c r="E26" s="620"/>
      <c r="F26" s="620"/>
      <c r="G26" s="620"/>
      <c r="H26" s="620"/>
      <c r="I26" s="547" t="str">
        <f>VLOOKUP($C26,Orçamento!B:I,4,0)</f>
        <v>M</v>
      </c>
      <c r="J26" s="273">
        <f>4*100</f>
        <v>400</v>
      </c>
    </row>
    <row r="27" spans="3:10" ht="24.95" customHeight="1">
      <c r="C27" s="385" t="s">
        <v>53</v>
      </c>
      <c r="D27" s="620" t="str">
        <f>VLOOKUP($C27,Orçamento!B:I,3,0)</f>
        <v>LIGAÇÃO PROVISÓRIA DE LUZ E FORÇA-PADRÃO PROVISÓRIO 30KVA</v>
      </c>
      <c r="E27" s="620"/>
      <c r="F27" s="620"/>
      <c r="G27" s="620"/>
      <c r="H27" s="620"/>
      <c r="I27" s="547" t="str">
        <f>VLOOKUP($C27,Orçamento!B:I,4,0)</f>
        <v xml:space="preserve">UN </v>
      </c>
      <c r="J27" s="273">
        <v>1</v>
      </c>
    </row>
    <row r="28" spans="3:10" ht="24.95" customHeight="1">
      <c r="C28" s="41" t="s">
        <v>54</v>
      </c>
      <c r="D28" s="620" t="str">
        <f>VLOOKUP($C28,Orçamento!B:I,3,0)</f>
        <v>LIGAÇÃO PREDIAL DE ÁGUA 1/2" CAVALETE SIMPLES - COPASA</v>
      </c>
      <c r="E28" s="620"/>
      <c r="F28" s="620"/>
      <c r="G28" s="620"/>
      <c r="H28" s="620"/>
      <c r="I28" s="547" t="str">
        <f>VLOOKUP($C28,Orçamento!B:I,4,0)</f>
        <v xml:space="preserve">UN </v>
      </c>
      <c r="J28" s="273">
        <v>1</v>
      </c>
    </row>
    <row r="29" spans="3:10" ht="24.95" customHeight="1">
      <c r="C29" s="41" t="s">
        <v>402</v>
      </c>
      <c r="D29" s="620" t="str">
        <f>VLOOKUP($C29,Orçamento!B:I,3,0)</f>
        <v>LIGACAO PROVISORIA DE ESGOTO</v>
      </c>
      <c r="E29" s="620"/>
      <c r="F29" s="620"/>
      <c r="G29" s="620"/>
      <c r="H29" s="620"/>
      <c r="I29" s="547" t="str">
        <f>VLOOKUP($C29,Orçamento!B:I,4,0)</f>
        <v xml:space="preserve">UN </v>
      </c>
      <c r="J29" s="273">
        <v>1</v>
      </c>
    </row>
    <row r="30" spans="3:10" ht="24.95" customHeight="1">
      <c r="C30" s="41" t="s">
        <v>403</v>
      </c>
      <c r="D30" s="621" t="str">
        <f>VLOOKUP($C30,Orçamento!B:I,3,0)</f>
        <v>TAPUME EM CHAPA COMPENSADO DE 12 MM E PONTALETES H = 2,20 M</v>
      </c>
      <c r="E30" s="621"/>
      <c r="F30" s="621"/>
      <c r="G30" s="621"/>
      <c r="H30" s="621"/>
      <c r="I30" s="547" t="str">
        <f>VLOOKUP($C30,Orçamento!B:I,4,0)</f>
        <v>M</v>
      </c>
      <c r="J30" s="270">
        <f>25+25+18+18</f>
        <v>86</v>
      </c>
    </row>
    <row r="31" spans="3:10" ht="35.1" customHeight="1">
      <c r="C31" s="330" t="s">
        <v>406</v>
      </c>
      <c r="D31" s="620" t="str">
        <f>VLOOKUP($C31,Orçamento!B:I,3,0)</f>
        <v>MOBILIZAÇÃO E DESMOBILIZAÇÃO DE OBRA - PARA OBRAS EXECUTADAS EM CENTROS URBANOS OU PRÓXIMOS DE CENTROS URBANOS</v>
      </c>
      <c r="E31" s="620"/>
      <c r="F31" s="620"/>
      <c r="G31" s="620"/>
      <c r="H31" s="620"/>
      <c r="I31" s="547" t="str">
        <f>VLOOKUP($C31,Orçamento!B:I,4,0)</f>
        <v xml:space="preserve">UN </v>
      </c>
      <c r="J31" s="273">
        <v>1</v>
      </c>
    </row>
    <row r="32" spans="3:10" ht="24.95" customHeight="1">
      <c r="C32" s="41"/>
      <c r="D32" s="386"/>
      <c r="E32" s="387"/>
      <c r="F32" s="387"/>
      <c r="G32" s="387"/>
      <c r="H32" s="387"/>
      <c r="I32" s="350"/>
      <c r="J32" s="266"/>
    </row>
    <row r="33" spans="3:22" ht="24.95" customHeight="1">
      <c r="C33" s="286">
        <v>2</v>
      </c>
      <c r="D33" s="625" t="str">
        <f>VLOOKUP($C33,Orçamento!B:I,3,0)</f>
        <v>ADMINISTRAÇÃO LOCAL</v>
      </c>
      <c r="E33" s="626"/>
      <c r="F33" s="626"/>
      <c r="G33" s="626"/>
      <c r="H33" s="626"/>
      <c r="I33" s="209"/>
      <c r="J33" s="266"/>
    </row>
    <row r="34" spans="3:22" ht="24.95" customHeight="1">
      <c r="C34" s="6" t="s">
        <v>56</v>
      </c>
      <c r="D34" s="620" t="str">
        <f>VLOOKUP($C34,Orçamento!B:I,3,0)</f>
        <v>ADMINISTRAÇÃO LOCAL DA OBRA</v>
      </c>
      <c r="E34" s="620"/>
      <c r="F34" s="620"/>
      <c r="G34" s="620"/>
      <c r="H34" s="620"/>
      <c r="I34" s="547" t="str">
        <f>VLOOKUP($C34,Orçamento!B:I,4,0)</f>
        <v>MÊS</v>
      </c>
      <c r="J34" s="273">
        <f>E16</f>
        <v>4</v>
      </c>
    </row>
    <row r="35" spans="3:22" ht="24.95" customHeight="1">
      <c r="C35" s="41"/>
      <c r="D35" s="408"/>
      <c r="E35" s="409"/>
      <c r="F35" s="409"/>
      <c r="G35" s="409"/>
      <c r="H35" s="409"/>
      <c r="I35" s="350"/>
      <c r="J35" s="266"/>
    </row>
    <row r="36" spans="3:22" ht="24.95" customHeight="1">
      <c r="C36" s="283">
        <v>3</v>
      </c>
      <c r="D36" s="622" t="str">
        <f>VLOOKUP($C36,Orçamento!B:I,3,0)</f>
        <v>LOCAÇÃO DA OBRA</v>
      </c>
      <c r="E36" s="623"/>
      <c r="F36" s="623"/>
      <c r="G36" s="623"/>
      <c r="H36" s="623"/>
      <c r="I36" s="284"/>
      <c r="J36" s="285"/>
    </row>
    <row r="37" spans="3:22" ht="24.95" customHeight="1">
      <c r="C37" s="407" t="s">
        <v>442</v>
      </c>
      <c r="D37" s="620" t="str">
        <f>VLOOKUP($C37,Orçamento!B:I,3,0)</f>
        <v>LOCAÇÃO TOPOGRÁFICA ACIMA DE 50 PONTOS</v>
      </c>
      <c r="E37" s="620"/>
      <c r="F37" s="620"/>
      <c r="G37" s="620"/>
      <c r="H37" s="620"/>
      <c r="I37" s="547" t="str">
        <f>VLOOKUP($C37,Orçamento!B:I,4,0)</f>
        <v>PT</v>
      </c>
      <c r="J37" s="273">
        <f>1091</f>
        <v>1091</v>
      </c>
    </row>
    <row r="38" spans="3:22" ht="24.95" customHeight="1">
      <c r="C38" s="407"/>
      <c r="D38" s="620"/>
      <c r="E38" s="620"/>
      <c r="F38" s="620"/>
      <c r="G38" s="620"/>
      <c r="H38" s="620"/>
      <c r="I38" s="407"/>
      <c r="J38" s="273"/>
    </row>
    <row r="39" spans="3:22" ht="24.95" customHeight="1">
      <c r="C39" s="283">
        <v>4</v>
      </c>
      <c r="D39" s="622" t="str">
        <f>VLOOKUP($C39,Orçamento!B:I,3,0)</f>
        <v>TERRAPLENAGEM</v>
      </c>
      <c r="E39" s="623"/>
      <c r="F39" s="623"/>
      <c r="G39" s="623"/>
      <c r="H39" s="623"/>
      <c r="I39" s="284"/>
      <c r="J39" s="285"/>
    </row>
    <row r="40" spans="3:22" ht="35.1" customHeight="1">
      <c r="C40" s="6" t="s">
        <v>55</v>
      </c>
      <c r="D40" s="620" t="str">
        <f>VLOOKUP($C40,Orçamento!B:I,3,0)</f>
        <v>DESMATAMENTO, DESTOCAMENTO E LIMPEZA DE ÁRVORES, ARBUSTOS E
VEGETAÇÃO RASTEIRA E = 30 CM</v>
      </c>
      <c r="E40" s="620"/>
      <c r="F40" s="620"/>
      <c r="G40" s="620"/>
      <c r="H40" s="620"/>
      <c r="I40" s="547" t="str">
        <f>VLOOKUP($C40,Orçamento!B:I,4,0)</f>
        <v>M2</v>
      </c>
      <c r="J40" s="273">
        <f>E44</f>
        <v>19254</v>
      </c>
    </row>
    <row r="41" spans="3:22" ht="20.100000000000001" customHeight="1">
      <c r="C41" s="96"/>
      <c r="D41" s="106"/>
      <c r="E41" s="106"/>
      <c r="F41" s="106"/>
      <c r="G41" s="106"/>
      <c r="H41" s="106"/>
      <c r="I41" s="205"/>
      <c r="J41" s="261"/>
      <c r="N41" s="9"/>
      <c r="P41" s="10"/>
      <c r="Q41" s="10"/>
      <c r="R41" s="10"/>
      <c r="S41" s="10"/>
      <c r="T41" s="10"/>
      <c r="U41" s="10"/>
      <c r="V41" s="10"/>
    </row>
    <row r="42" spans="3:22" ht="20.100000000000001" customHeight="1">
      <c r="C42" s="206"/>
      <c r="D42" s="12" t="s">
        <v>332</v>
      </c>
      <c r="E42" s="13">
        <f>Pavimentação!E19</f>
        <v>1283.5999999999999</v>
      </c>
      <c r="F42" s="12" t="s">
        <v>4</v>
      </c>
      <c r="G42" s="12"/>
      <c r="H42" s="12"/>
      <c r="I42" s="207"/>
      <c r="J42" s="262"/>
      <c r="N42" s="9"/>
      <c r="P42" s="10"/>
      <c r="Q42" s="10"/>
      <c r="R42" s="10"/>
      <c r="S42" s="10"/>
      <c r="T42" s="10"/>
      <c r="U42" s="10"/>
      <c r="V42" s="10"/>
    </row>
    <row r="43" spans="3:22" ht="20.100000000000001" customHeight="1">
      <c r="C43" s="206"/>
      <c r="D43" s="12" t="s">
        <v>780</v>
      </c>
      <c r="E43" s="265">
        <v>15</v>
      </c>
      <c r="F43" s="12" t="s">
        <v>4</v>
      </c>
      <c r="G43" s="12"/>
      <c r="H43" s="12"/>
      <c r="I43" s="207"/>
      <c r="J43" s="262"/>
      <c r="N43" s="9"/>
      <c r="P43" s="10"/>
      <c r="Q43" s="10"/>
      <c r="R43" s="10"/>
      <c r="S43" s="10"/>
      <c r="T43" s="10"/>
      <c r="U43" s="10"/>
      <c r="V43" s="10"/>
    </row>
    <row r="44" spans="3:22" ht="20.100000000000001" customHeight="1">
      <c r="C44" s="347"/>
      <c r="D44" s="12" t="s">
        <v>25</v>
      </c>
      <c r="E44" s="259">
        <f>E43*E42</f>
        <v>19254</v>
      </c>
      <c r="F44" s="12" t="s">
        <v>7</v>
      </c>
      <c r="G44" s="12"/>
      <c r="H44" s="12"/>
      <c r="I44" s="348"/>
      <c r="J44" s="262"/>
      <c r="N44" s="9"/>
      <c r="P44" s="10"/>
      <c r="Q44" s="10"/>
      <c r="R44" s="10"/>
      <c r="S44" s="10"/>
      <c r="T44" s="10"/>
      <c r="U44" s="10"/>
      <c r="V44" s="10"/>
    </row>
    <row r="45" spans="3:22" ht="20.100000000000001" customHeight="1">
      <c r="C45" s="347"/>
      <c r="D45" s="10" t="s">
        <v>378</v>
      </c>
      <c r="E45" s="320"/>
      <c r="F45" s="12"/>
      <c r="G45" s="12"/>
      <c r="H45" s="12"/>
      <c r="I45" s="348"/>
      <c r="J45" s="262"/>
      <c r="N45" s="9"/>
      <c r="P45" s="10"/>
      <c r="Q45" s="10"/>
      <c r="R45" s="10"/>
      <c r="S45" s="10"/>
      <c r="T45" s="10"/>
      <c r="U45" s="10"/>
      <c r="V45" s="10"/>
    </row>
    <row r="46" spans="3:22" ht="20.100000000000001" customHeight="1">
      <c r="C46" s="349"/>
      <c r="D46" s="345"/>
      <c r="E46" s="345"/>
      <c r="F46" s="345"/>
      <c r="G46" s="345"/>
      <c r="H46" s="345"/>
      <c r="I46" s="350"/>
      <c r="J46" s="266"/>
      <c r="N46" s="9"/>
      <c r="P46" s="10"/>
      <c r="Q46" s="10"/>
      <c r="R46" s="10"/>
      <c r="S46" s="10"/>
      <c r="T46" s="10"/>
      <c r="U46" s="10"/>
      <c r="V46" s="10"/>
    </row>
    <row r="47" spans="3:22" ht="35.1" customHeight="1">
      <c r="C47" s="41" t="s">
        <v>443</v>
      </c>
      <c r="D47" s="641" t="str">
        <f>VLOOKUP($C47,Orçamento!B:I,3,0)</f>
        <v>ESCAVACAO MECANIZADA SUBMERSA (DRAGAGEM E CARGA), UTILIZANDO CAMINHÃO BASCULANTE, ESCAVADEIRA TIPO DRAGA DE ARRASTE E RETROESCAVADEIRA COM CARREGADEIRA</v>
      </c>
      <c r="E47" s="642"/>
      <c r="F47" s="642"/>
      <c r="G47" s="642"/>
      <c r="H47" s="643"/>
      <c r="I47" s="585" t="str">
        <f>VLOOKUP($C47,Orçamento!B:I,4,0)</f>
        <v>M3</v>
      </c>
      <c r="J47" s="272">
        <f>H61</f>
        <v>6186.7275</v>
      </c>
    </row>
    <row r="48" spans="3:22" ht="20.100000000000001" customHeight="1">
      <c r="C48" s="96"/>
      <c r="D48" s="106"/>
      <c r="E48" s="106"/>
      <c r="F48" s="106"/>
      <c r="G48" s="106"/>
      <c r="H48" s="106"/>
      <c r="I48" s="205"/>
      <c r="J48" s="261"/>
      <c r="N48" s="9"/>
      <c r="P48" s="10"/>
      <c r="Q48" s="10"/>
      <c r="R48" s="10"/>
      <c r="S48" s="10"/>
      <c r="T48" s="10"/>
      <c r="U48" s="10"/>
      <c r="V48" s="10"/>
    </row>
    <row r="49" spans="3:22" ht="20.100000000000001" customHeight="1">
      <c r="C49" s="331"/>
      <c r="D49" s="10" t="s">
        <v>413</v>
      </c>
      <c r="E49" s="12"/>
      <c r="F49" s="12"/>
      <c r="G49" s="12"/>
      <c r="H49" s="12"/>
      <c r="I49" s="332"/>
      <c r="J49" s="262"/>
      <c r="N49" s="9"/>
      <c r="P49" s="10"/>
      <c r="Q49" s="10"/>
      <c r="R49" s="10"/>
      <c r="S49" s="10"/>
      <c r="T49" s="10"/>
      <c r="U49" s="10"/>
      <c r="V49" s="10"/>
    </row>
    <row r="50" spans="3:22" ht="20.100000000000001" customHeight="1">
      <c r="C50" s="331"/>
      <c r="D50" s="10"/>
      <c r="E50" s="12"/>
      <c r="F50" s="12"/>
      <c r="G50" s="12"/>
      <c r="H50" s="12"/>
      <c r="I50" s="332"/>
      <c r="J50" s="262"/>
      <c r="N50" s="9"/>
      <c r="P50" s="10"/>
      <c r="Q50" s="10"/>
      <c r="R50" s="10"/>
      <c r="S50" s="10"/>
      <c r="T50" s="10"/>
      <c r="U50" s="10"/>
      <c r="V50" s="10"/>
    </row>
    <row r="51" spans="3:22" ht="20.100000000000001" customHeight="1">
      <c r="C51" s="206"/>
      <c r="D51" s="10" t="s">
        <v>331</v>
      </c>
      <c r="E51" s="12"/>
      <c r="G51" s="10" t="s">
        <v>324</v>
      </c>
      <c r="H51" s="12"/>
      <c r="I51" s="207"/>
      <c r="J51" s="262"/>
      <c r="N51" s="9"/>
      <c r="P51" s="10"/>
      <c r="Q51" s="10"/>
      <c r="R51" s="10"/>
      <c r="S51" s="10"/>
      <c r="T51" s="10"/>
      <c r="U51" s="10"/>
      <c r="V51" s="10"/>
    </row>
    <row r="52" spans="3:22" ht="20.100000000000001" customHeight="1">
      <c r="C52" s="206"/>
      <c r="D52" s="12" t="s">
        <v>325</v>
      </c>
      <c r="E52" s="207">
        <v>2.2999999999999998</v>
      </c>
      <c r="F52" s="329" t="s">
        <v>4</v>
      </c>
      <c r="G52" s="12" t="s">
        <v>325</v>
      </c>
      <c r="H52" s="207">
        <v>7.5</v>
      </c>
      <c r="I52" s="329" t="s">
        <v>4</v>
      </c>
      <c r="J52" s="262"/>
      <c r="N52" s="9"/>
      <c r="P52" s="10"/>
      <c r="Q52" s="10"/>
      <c r="R52" s="10"/>
      <c r="S52" s="10"/>
      <c r="T52" s="10"/>
      <c r="U52" s="10"/>
      <c r="V52" s="10"/>
    </row>
    <row r="53" spans="3:22" ht="20.100000000000001" customHeight="1">
      <c r="C53" s="206"/>
      <c r="D53" s="12" t="s">
        <v>326</v>
      </c>
      <c r="E53" s="207">
        <v>1.2</v>
      </c>
      <c r="F53" s="329" t="s">
        <v>4</v>
      </c>
      <c r="G53" s="12" t="s">
        <v>326</v>
      </c>
      <c r="H53" s="207">
        <v>4</v>
      </c>
      <c r="I53" s="329" t="s">
        <v>4</v>
      </c>
      <c r="J53" s="262"/>
      <c r="N53" s="9"/>
      <c r="P53" s="10"/>
      <c r="Q53" s="10"/>
      <c r="R53" s="10"/>
      <c r="S53" s="10"/>
      <c r="T53" s="10"/>
      <c r="U53" s="10"/>
      <c r="V53" s="10"/>
    </row>
    <row r="54" spans="3:22" ht="20.100000000000001" customHeight="1">
      <c r="C54" s="206"/>
      <c r="D54" s="12" t="s">
        <v>15</v>
      </c>
      <c r="E54" s="207">
        <v>1.5</v>
      </c>
      <c r="F54" s="329" t="s">
        <v>4</v>
      </c>
      <c r="G54" s="12" t="s">
        <v>15</v>
      </c>
      <c r="H54" s="207">
        <v>2.5</v>
      </c>
      <c r="I54" s="329" t="s">
        <v>4</v>
      </c>
      <c r="J54" s="262"/>
      <c r="N54" s="9"/>
      <c r="P54" s="10"/>
      <c r="Q54" s="10"/>
      <c r="R54" s="10"/>
      <c r="S54" s="10"/>
      <c r="T54" s="10"/>
      <c r="U54" s="10"/>
      <c r="V54" s="10"/>
    </row>
    <row r="55" spans="3:22" ht="20.100000000000001" customHeight="1">
      <c r="C55" s="206"/>
      <c r="D55" s="12" t="s">
        <v>329</v>
      </c>
      <c r="E55" s="263">
        <f>(E52+E53)/2*E54</f>
        <v>2.625</v>
      </c>
      <c r="F55" s="329" t="s">
        <v>10</v>
      </c>
      <c r="G55" s="279" t="s">
        <v>328</v>
      </c>
      <c r="H55" s="263">
        <f>(H52+H53)/2*H54</f>
        <v>14.375</v>
      </c>
      <c r="I55" s="329" t="s">
        <v>10</v>
      </c>
      <c r="J55" s="262"/>
      <c r="N55" s="9"/>
      <c r="P55" s="10"/>
      <c r="Q55" s="10"/>
      <c r="R55" s="10"/>
      <c r="S55" s="10"/>
      <c r="T55" s="10"/>
      <c r="U55" s="10"/>
      <c r="V55" s="10"/>
    </row>
    <row r="56" spans="3:22" ht="20.100000000000001" customHeight="1">
      <c r="C56" s="206"/>
      <c r="D56" s="10" t="s">
        <v>327</v>
      </c>
      <c r="E56" s="12"/>
      <c r="F56" s="12"/>
      <c r="G56" s="10" t="s">
        <v>327</v>
      </c>
      <c r="H56" s="12"/>
      <c r="I56" s="207"/>
      <c r="J56" s="262"/>
      <c r="N56" s="9"/>
      <c r="P56" s="10"/>
      <c r="Q56" s="10"/>
      <c r="R56" s="10"/>
      <c r="S56" s="10"/>
      <c r="T56" s="10"/>
      <c r="U56" s="10"/>
      <c r="V56" s="10"/>
    </row>
    <row r="57" spans="3:22" ht="20.100000000000001" customHeight="1">
      <c r="C57" s="206"/>
      <c r="D57" s="12"/>
      <c r="E57" s="12"/>
      <c r="F57" s="12"/>
      <c r="G57" s="12"/>
      <c r="H57" s="12"/>
      <c r="I57" s="207"/>
      <c r="J57" s="262"/>
      <c r="N57" s="9"/>
      <c r="P57" s="10"/>
      <c r="Q57" s="10"/>
      <c r="R57" s="10"/>
      <c r="S57" s="10"/>
      <c r="T57" s="10"/>
      <c r="U57" s="10"/>
      <c r="V57" s="10"/>
    </row>
    <row r="58" spans="3:22" ht="20.100000000000001" customHeight="1">
      <c r="C58" s="206"/>
      <c r="F58" s="12"/>
      <c r="G58" s="279" t="s">
        <v>328</v>
      </c>
      <c r="H58" s="265">
        <f>H55</f>
        <v>14.375</v>
      </c>
      <c r="I58" s="207" t="s">
        <v>7</v>
      </c>
      <c r="J58" s="262"/>
      <c r="N58" s="9"/>
      <c r="P58" s="10"/>
      <c r="Q58" s="10"/>
      <c r="R58" s="10"/>
      <c r="S58" s="10"/>
      <c r="T58" s="10"/>
      <c r="U58" s="10"/>
      <c r="V58" s="10"/>
    </row>
    <row r="59" spans="3:22" ht="20.100000000000001" customHeight="1">
      <c r="C59" s="206"/>
      <c r="F59" s="12"/>
      <c r="G59" s="329" t="s">
        <v>329</v>
      </c>
      <c r="H59" s="265">
        <f>E55</f>
        <v>2.625</v>
      </c>
      <c r="I59" s="207" t="s">
        <v>7</v>
      </c>
      <c r="J59" s="262"/>
      <c r="N59" s="9"/>
      <c r="P59" s="10"/>
      <c r="Q59" s="10"/>
      <c r="R59" s="10"/>
      <c r="S59" s="10"/>
      <c r="T59" s="10"/>
      <c r="U59" s="10"/>
      <c r="V59" s="10"/>
    </row>
    <row r="60" spans="3:22" ht="20.100000000000001" customHeight="1">
      <c r="C60" s="206"/>
      <c r="F60" s="12"/>
      <c r="G60" s="329" t="s">
        <v>330</v>
      </c>
      <c r="H60" s="265">
        <f>Pavimentação!E14+Pavimentação!E13+Pavimentação!E12</f>
        <v>526.53</v>
      </c>
      <c r="I60" s="207" t="s">
        <v>4</v>
      </c>
      <c r="J60" s="262"/>
      <c r="N60" s="9"/>
      <c r="P60" s="10"/>
      <c r="Q60" s="10"/>
      <c r="R60" s="10"/>
      <c r="S60" s="10"/>
      <c r="T60" s="10"/>
      <c r="U60" s="10"/>
      <c r="V60" s="10"/>
    </row>
    <row r="61" spans="3:22" ht="20.100000000000001" customHeight="1">
      <c r="C61" s="206"/>
      <c r="F61" s="12"/>
      <c r="G61" s="279" t="s">
        <v>414</v>
      </c>
      <c r="H61" s="203">
        <f>(H58-H59)*H60</f>
        <v>6186.7275</v>
      </c>
      <c r="I61" s="207" t="s">
        <v>10</v>
      </c>
      <c r="J61" s="262"/>
      <c r="N61" s="9"/>
      <c r="P61" s="10"/>
      <c r="Q61" s="10"/>
      <c r="R61" s="10"/>
      <c r="S61" s="10"/>
      <c r="T61" s="10"/>
      <c r="U61" s="10"/>
      <c r="V61" s="10"/>
    </row>
    <row r="62" spans="3:22" ht="20.100000000000001" customHeight="1">
      <c r="C62" s="331"/>
      <c r="F62" s="12"/>
      <c r="G62" s="342" t="s">
        <v>416</v>
      </c>
      <c r="H62" s="320"/>
      <c r="J62" s="343"/>
      <c r="N62" s="9"/>
      <c r="P62" s="10"/>
      <c r="Q62" s="10"/>
      <c r="R62" s="10"/>
      <c r="S62" s="10"/>
      <c r="T62" s="10"/>
      <c r="U62" s="10"/>
      <c r="V62" s="10"/>
    </row>
    <row r="63" spans="3:22" ht="20.100000000000001" customHeight="1">
      <c r="C63" s="206"/>
      <c r="D63" s="12"/>
      <c r="E63" s="12"/>
      <c r="F63" s="12"/>
      <c r="G63" s="12"/>
      <c r="H63" s="12"/>
      <c r="I63" s="207"/>
      <c r="J63" s="262"/>
      <c r="N63" s="9"/>
      <c r="P63" s="10"/>
      <c r="Q63" s="10"/>
      <c r="R63" s="10"/>
      <c r="S63" s="10"/>
      <c r="T63" s="10"/>
      <c r="U63" s="10"/>
      <c r="V63" s="10"/>
    </row>
    <row r="64" spans="3:22" ht="35.1" customHeight="1">
      <c r="C64" s="6" t="s">
        <v>444</v>
      </c>
      <c r="D64" s="617" t="str">
        <f>VLOOKUP($C64,Orçamento!B:I,3,0)</f>
        <v>ESCAVAÇÃO E CARGA COM TRATOR E CARREGADEIRA (MATERIAL DE 1ª
CATEGORIA) - BOTA FORA</v>
      </c>
      <c r="E64" s="618"/>
      <c r="F64" s="618"/>
      <c r="G64" s="618"/>
      <c r="H64" s="619"/>
      <c r="I64" s="547" t="str">
        <f>VLOOKUP($C64,Orçamento!B:I,4,0)</f>
        <v>M3</v>
      </c>
      <c r="J64" s="273">
        <f>F72</f>
        <v>21132.8125</v>
      </c>
    </row>
    <row r="65" spans="3:10" ht="20.100000000000001" customHeight="1">
      <c r="C65" s="96"/>
      <c r="D65" s="276"/>
      <c r="E65" s="107"/>
      <c r="F65" s="12"/>
      <c r="G65" s="12"/>
      <c r="H65" s="12"/>
      <c r="I65" s="207"/>
      <c r="J65" s="262"/>
    </row>
    <row r="66" spans="3:10" ht="20.100000000000001" customHeight="1">
      <c r="C66" s="206"/>
      <c r="D66" s="644" t="s">
        <v>100</v>
      </c>
      <c r="E66" s="645"/>
      <c r="F66" s="6" t="s">
        <v>99</v>
      </c>
      <c r="G66" s="6" t="s">
        <v>121</v>
      </c>
      <c r="H66" s="624" t="s">
        <v>122</v>
      </c>
      <c r="I66" s="624"/>
      <c r="J66" s="287"/>
    </row>
    <row r="67" spans="3:10" ht="20.100000000000001" customHeight="1">
      <c r="C67" s="206"/>
      <c r="D67" s="644" t="s">
        <v>101</v>
      </c>
      <c r="E67" s="645"/>
      <c r="F67" s="94">
        <v>20478.169999999998</v>
      </c>
      <c r="G67" s="94" t="s">
        <v>434</v>
      </c>
      <c r="H67" s="624" t="s">
        <v>436</v>
      </c>
      <c r="I67" s="624"/>
      <c r="J67" s="287"/>
    </row>
    <row r="68" spans="3:10" ht="20.100000000000001" customHeight="1">
      <c r="C68" s="206"/>
      <c r="D68" s="644" t="s">
        <v>430</v>
      </c>
      <c r="E68" s="645"/>
      <c r="F68" s="94">
        <v>198.98</v>
      </c>
      <c r="G68" s="94" t="s">
        <v>432</v>
      </c>
      <c r="H68" s="624" t="s">
        <v>435</v>
      </c>
      <c r="I68" s="624"/>
      <c r="J68" s="287"/>
    </row>
    <row r="69" spans="3:10" ht="20.100000000000001" customHeight="1">
      <c r="C69" s="206"/>
      <c r="D69" s="644" t="s">
        <v>431</v>
      </c>
      <c r="E69" s="645"/>
      <c r="F69" s="94">
        <v>186.13</v>
      </c>
      <c r="G69" s="94" t="s">
        <v>432</v>
      </c>
      <c r="H69" s="624" t="s">
        <v>435</v>
      </c>
      <c r="I69" s="624"/>
      <c r="J69" s="287"/>
    </row>
    <row r="70" spans="3:10" ht="20.100000000000001" customHeight="1">
      <c r="C70" s="206"/>
      <c r="D70" s="644" t="s">
        <v>424</v>
      </c>
      <c r="E70" s="645"/>
      <c r="F70" s="94">
        <v>6456.26</v>
      </c>
      <c r="G70" s="94" t="s">
        <v>305</v>
      </c>
      <c r="H70" s="624" t="s">
        <v>437</v>
      </c>
      <c r="I70" s="624"/>
      <c r="J70" s="287"/>
    </row>
    <row r="71" spans="3:10" ht="20.100000000000001" customHeight="1">
      <c r="C71" s="331"/>
      <c r="D71" s="624" t="s">
        <v>412</v>
      </c>
      <c r="E71" s="624"/>
      <c r="F71" s="94">
        <f>H61</f>
        <v>6186.7275</v>
      </c>
      <c r="G71" s="94"/>
      <c r="H71" s="624"/>
      <c r="I71" s="624"/>
      <c r="J71" s="287"/>
    </row>
    <row r="72" spans="3:10" ht="20.100000000000001" customHeight="1">
      <c r="C72" s="206"/>
      <c r="D72" s="624" t="s">
        <v>102</v>
      </c>
      <c r="E72" s="624"/>
      <c r="F72" s="94">
        <f>SUM(F67:F70)-F71</f>
        <v>21132.8125</v>
      </c>
      <c r="G72" s="94"/>
      <c r="H72" s="624"/>
      <c r="I72" s="624"/>
      <c r="J72" s="287"/>
    </row>
    <row r="73" spans="3:10" ht="20.100000000000001" customHeight="1">
      <c r="C73" s="630" t="s">
        <v>472</v>
      </c>
      <c r="D73" s="631"/>
      <c r="E73" s="631"/>
      <c r="F73" s="631"/>
      <c r="G73" s="631"/>
      <c r="H73" s="631"/>
      <c r="I73" s="631"/>
      <c r="J73" s="632"/>
    </row>
    <row r="74" spans="3:10" ht="20.100000000000001" customHeight="1">
      <c r="C74" s="366"/>
      <c r="D74" s="367"/>
      <c r="E74" s="367"/>
      <c r="F74" s="367"/>
      <c r="G74" s="367"/>
      <c r="H74" s="367"/>
      <c r="I74" s="367"/>
      <c r="J74" s="368"/>
    </row>
    <row r="75" spans="3:10" ht="35.1" customHeight="1">
      <c r="C75" s="585" t="s">
        <v>445</v>
      </c>
      <c r="D75" s="617" t="str">
        <f>VLOOKUP($C75,Orçamento!B:I,3,0)</f>
        <v>TRANSPORTE DE MATERIAL DE QUALQUER NATUREZA EM CAMINHÃO DMT &gt; 5 KM (DENTRO DO PERÍMETRO URBANO) - BOTA FORA</v>
      </c>
      <c r="E75" s="618"/>
      <c r="F75" s="618"/>
      <c r="G75" s="618"/>
      <c r="H75" s="619"/>
      <c r="I75" s="585" t="str">
        <f>VLOOKUP($C75,Orçamento!B:I,4,0)</f>
        <v>M3XKM</v>
      </c>
      <c r="J75" s="273">
        <f>E89+E82+H81</f>
        <v>194552.35150000002</v>
      </c>
    </row>
    <row r="76" spans="3:10" ht="20.100000000000001" customHeight="1">
      <c r="C76" s="206"/>
      <c r="D76" s="12"/>
      <c r="E76" s="13"/>
      <c r="F76" s="12"/>
      <c r="G76" s="12"/>
      <c r="H76" s="12"/>
      <c r="I76" s="207"/>
      <c r="J76" s="287"/>
    </row>
    <row r="77" spans="3:10" ht="20.100000000000001" customHeight="1">
      <c r="C77" s="206"/>
      <c r="D77" s="10" t="s">
        <v>333</v>
      </c>
      <c r="E77" s="13"/>
      <c r="F77" s="12"/>
      <c r="G77" s="10"/>
      <c r="H77" s="12"/>
      <c r="I77" s="207"/>
      <c r="J77" s="287"/>
    </row>
    <row r="78" spans="3:10" ht="20.100000000000001" customHeight="1">
      <c r="C78" s="206"/>
      <c r="D78" s="12" t="s">
        <v>25</v>
      </c>
      <c r="E78" s="13">
        <f>J40</f>
        <v>19254</v>
      </c>
      <c r="F78" s="12" t="s">
        <v>7</v>
      </c>
      <c r="G78" s="12" t="s">
        <v>415</v>
      </c>
      <c r="H78" s="13"/>
      <c r="I78" s="12"/>
      <c r="J78" s="287"/>
    </row>
    <row r="79" spans="3:10" ht="20.100000000000001" customHeight="1">
      <c r="C79" s="206"/>
      <c r="D79" s="12" t="s">
        <v>334</v>
      </c>
      <c r="E79" s="13">
        <v>0.15</v>
      </c>
      <c r="F79" s="12" t="s">
        <v>4</v>
      </c>
      <c r="G79" s="12" t="s">
        <v>335</v>
      </c>
      <c r="H79" s="13">
        <f>F71</f>
        <v>6186.7275</v>
      </c>
      <c r="I79" s="12" t="s">
        <v>10</v>
      </c>
      <c r="J79" s="287"/>
    </row>
    <row r="80" spans="3:10" ht="20.100000000000001" customHeight="1">
      <c r="C80" s="206"/>
      <c r="D80" s="12" t="s">
        <v>75</v>
      </c>
      <c r="E80" s="13">
        <v>1.3</v>
      </c>
      <c r="F80" s="12" t="s">
        <v>24</v>
      </c>
      <c r="G80" s="12" t="s">
        <v>11</v>
      </c>
      <c r="H80" s="320">
        <v>5.2</v>
      </c>
      <c r="I80" s="12" t="s">
        <v>26</v>
      </c>
      <c r="J80" s="287"/>
    </row>
    <row r="81" spans="3:10" ht="20.100000000000001" customHeight="1">
      <c r="C81" s="206"/>
      <c r="D81" s="12" t="s">
        <v>11</v>
      </c>
      <c r="E81" s="13">
        <v>5.2</v>
      </c>
      <c r="F81" s="12" t="s">
        <v>26</v>
      </c>
      <c r="G81" s="12" t="s">
        <v>336</v>
      </c>
      <c r="H81" s="259">
        <f>H79*H80</f>
        <v>32170.983</v>
      </c>
      <c r="I81" s="12" t="s">
        <v>28</v>
      </c>
      <c r="J81" s="287"/>
    </row>
    <row r="82" spans="3:10" ht="20.100000000000001" customHeight="1">
      <c r="C82" s="206"/>
      <c r="D82" s="12" t="s">
        <v>336</v>
      </c>
      <c r="E82" s="203">
        <f>E78*E79*E80*E81</f>
        <v>19523.556</v>
      </c>
      <c r="F82" s="12" t="s">
        <v>28</v>
      </c>
      <c r="G82" s="10"/>
      <c r="H82" s="12"/>
      <c r="I82" s="207"/>
      <c r="J82" s="287"/>
    </row>
    <row r="83" spans="3:10" ht="20.100000000000001" customHeight="1">
      <c r="C83" s="206"/>
      <c r="D83" s="10" t="s">
        <v>379</v>
      </c>
      <c r="E83" s="13"/>
      <c r="F83" s="12"/>
      <c r="G83" s="12"/>
      <c r="H83" s="12"/>
      <c r="I83" s="207"/>
      <c r="J83" s="287"/>
    </row>
    <row r="84" spans="3:10" ht="20.100000000000001" customHeight="1">
      <c r="C84" s="206"/>
      <c r="D84" s="12"/>
      <c r="E84" s="13"/>
      <c r="F84" s="12"/>
      <c r="G84" s="264"/>
      <c r="H84" s="267"/>
      <c r="I84" s="207"/>
      <c r="J84" s="287"/>
    </row>
    <row r="85" spans="3:10" ht="20.100000000000001" customHeight="1">
      <c r="C85" s="206"/>
      <c r="D85" s="12" t="s">
        <v>344</v>
      </c>
      <c r="E85" s="13"/>
      <c r="F85" s="12"/>
      <c r="G85" s="12"/>
      <c r="H85" s="12"/>
      <c r="I85" s="207"/>
      <c r="J85" s="287"/>
    </row>
    <row r="86" spans="3:10" ht="20.100000000000001" customHeight="1">
      <c r="C86" s="206"/>
      <c r="D86" s="12" t="s">
        <v>205</v>
      </c>
      <c r="E86" s="13">
        <f>J64</f>
        <v>21132.8125</v>
      </c>
      <c r="F86" s="12" t="s">
        <v>10</v>
      </c>
      <c r="G86" s="12"/>
      <c r="H86" s="12"/>
      <c r="I86" s="207"/>
      <c r="J86" s="287"/>
    </row>
    <row r="87" spans="3:10" ht="20.100000000000001" customHeight="1">
      <c r="C87" s="206"/>
      <c r="D87" s="12" t="s">
        <v>75</v>
      </c>
      <c r="E87" s="13">
        <v>1.3</v>
      </c>
      <c r="F87" s="12" t="s">
        <v>24</v>
      </c>
      <c r="G87" s="12"/>
      <c r="H87" s="12"/>
      <c r="I87" s="207"/>
      <c r="J87" s="287"/>
    </row>
    <row r="88" spans="3:10" ht="20.100000000000001" customHeight="1">
      <c r="C88" s="206"/>
      <c r="D88" s="12" t="s">
        <v>11</v>
      </c>
      <c r="E88" s="13">
        <v>5.2</v>
      </c>
      <c r="F88" s="12" t="s">
        <v>26</v>
      </c>
      <c r="G88" s="12"/>
      <c r="H88" s="12"/>
      <c r="I88" s="207"/>
      <c r="J88" s="287"/>
    </row>
    <row r="89" spans="3:10" ht="20.100000000000001" customHeight="1">
      <c r="C89" s="206"/>
      <c r="D89" s="12" t="s">
        <v>336</v>
      </c>
      <c r="E89" s="203">
        <f>E86*E87*E88</f>
        <v>142857.8125</v>
      </c>
      <c r="F89" s="12" t="s">
        <v>28</v>
      </c>
      <c r="G89" s="12"/>
      <c r="H89" s="12"/>
      <c r="I89" s="207"/>
      <c r="J89" s="287"/>
    </row>
    <row r="90" spans="3:10" ht="20.100000000000001" customHeight="1">
      <c r="C90" s="347"/>
      <c r="D90" s="10" t="s">
        <v>411</v>
      </c>
      <c r="E90" s="320"/>
      <c r="F90" s="12"/>
      <c r="G90" s="12"/>
      <c r="H90" s="12"/>
      <c r="I90" s="348"/>
      <c r="J90" s="287"/>
    </row>
    <row r="91" spans="3:10" ht="20.100000000000001" customHeight="1">
      <c r="C91" s="349"/>
      <c r="D91" s="345"/>
      <c r="E91" s="204"/>
      <c r="F91" s="345"/>
      <c r="G91" s="345"/>
      <c r="H91" s="345"/>
      <c r="I91" s="350"/>
      <c r="J91" s="296"/>
    </row>
    <row r="92" spans="3:10" ht="35.1" customHeight="1">
      <c r="C92" s="11" t="s">
        <v>446</v>
      </c>
      <c r="D92" s="627" t="str">
        <f>VLOOKUP($C92,Orçamento!B:I,3,0)</f>
        <v>ESCAVAÇÃO E CARGA COM TRATOR E CARREGADEIRA (MATERIAL DE 1ª CATEGORIA) - EMPRÉSTIMO</v>
      </c>
      <c r="E92" s="628"/>
      <c r="F92" s="628"/>
      <c r="G92" s="628"/>
      <c r="H92" s="629"/>
      <c r="I92" s="547" t="str">
        <f>VLOOKUP($C92,Orçamento!B:I,4,0)</f>
        <v>M3</v>
      </c>
      <c r="J92" s="270">
        <f>E96</f>
        <v>7365.4250000000002</v>
      </c>
    </row>
    <row r="93" spans="3:10" ht="20.100000000000001" customHeight="1">
      <c r="C93" s="322"/>
      <c r="D93" s="323"/>
      <c r="E93" s="323"/>
      <c r="F93" s="323"/>
      <c r="G93" s="323"/>
      <c r="H93" s="323"/>
      <c r="I93" s="324"/>
      <c r="J93" s="261"/>
    </row>
    <row r="94" spans="3:10" ht="20.100000000000001" customHeight="1">
      <c r="C94" s="325"/>
      <c r="D94" s="12" t="s">
        <v>396</v>
      </c>
      <c r="E94" s="320">
        <f>J107</f>
        <v>14730.85</v>
      </c>
      <c r="F94" s="12" t="s">
        <v>10</v>
      </c>
      <c r="G94" s="12"/>
      <c r="H94" s="12"/>
      <c r="I94" s="326"/>
      <c r="J94" s="262"/>
    </row>
    <row r="95" spans="3:10" ht="20.100000000000001" customHeight="1">
      <c r="C95" s="325"/>
      <c r="D95" s="264" t="s">
        <v>397</v>
      </c>
      <c r="E95" s="320">
        <v>0.5</v>
      </c>
      <c r="F95" s="12" t="s">
        <v>24</v>
      </c>
      <c r="G95" s="12"/>
      <c r="H95" s="12"/>
      <c r="I95" s="326"/>
      <c r="J95" s="262"/>
    </row>
    <row r="96" spans="3:10" ht="20.100000000000001" customHeight="1">
      <c r="C96" s="325"/>
      <c r="D96" s="12" t="s">
        <v>398</v>
      </c>
      <c r="E96" s="259">
        <f>E94*E95</f>
        <v>7365.4250000000002</v>
      </c>
      <c r="F96" s="12" t="s">
        <v>10</v>
      </c>
      <c r="G96" s="12"/>
      <c r="H96" s="12"/>
      <c r="I96" s="326"/>
      <c r="J96" s="262"/>
    </row>
    <row r="97" spans="3:10" ht="20.100000000000001" customHeight="1">
      <c r="C97" s="347"/>
      <c r="D97" s="10" t="s">
        <v>473</v>
      </c>
      <c r="E97" s="320"/>
      <c r="F97" s="12"/>
      <c r="G97" s="12"/>
      <c r="H97" s="12"/>
      <c r="I97" s="348"/>
      <c r="J97" s="262"/>
    </row>
    <row r="98" spans="3:10" ht="20.100000000000001" customHeight="1">
      <c r="C98" s="327"/>
      <c r="D98" s="321"/>
      <c r="E98" s="321"/>
      <c r="F98" s="321"/>
      <c r="G98" s="321"/>
      <c r="H98" s="321"/>
      <c r="I98" s="328"/>
      <c r="J98" s="266"/>
    </row>
    <row r="99" spans="3:10" ht="35.1" customHeight="1">
      <c r="C99" s="41" t="s">
        <v>447</v>
      </c>
      <c r="D99" s="641" t="str">
        <f>VLOOKUP($C99,Orçamento!B:I,3,0)</f>
        <v>TRANSPORTE DE MATERIAL DE QUALQUER NATUREZA EM CAMINHÃO 2 KM &lt; DMT &lt;= 5 KM (DENTRO DO PERÍMETRO URBANO) - EMPRÉSTIMO</v>
      </c>
      <c r="E99" s="642"/>
      <c r="F99" s="642"/>
      <c r="G99" s="642"/>
      <c r="H99" s="643"/>
      <c r="I99" s="547" t="str">
        <f>VLOOKUP($C99,Orçamento!B:I,4,0)</f>
        <v>M3XKM</v>
      </c>
      <c r="J99" s="272">
        <f>E104</f>
        <v>47875.262499999997</v>
      </c>
    </row>
    <row r="100" spans="3:10" ht="20.100000000000001" customHeight="1">
      <c r="C100" s="322"/>
      <c r="D100" s="323"/>
      <c r="E100" s="323"/>
      <c r="F100" s="323"/>
      <c r="G100" s="323"/>
      <c r="H100" s="323"/>
      <c r="I100" s="324"/>
      <c r="J100" s="261"/>
    </row>
    <row r="101" spans="3:10" ht="20.100000000000001" customHeight="1">
      <c r="C101" s="325"/>
      <c r="D101" s="12" t="s">
        <v>398</v>
      </c>
      <c r="E101" s="320">
        <f>J92</f>
        <v>7365.4250000000002</v>
      </c>
      <c r="F101" s="12" t="s">
        <v>10</v>
      </c>
      <c r="G101" s="12"/>
      <c r="H101" s="12"/>
      <c r="I101" s="326"/>
      <c r="J101" s="262"/>
    </row>
    <row r="102" spans="3:10" ht="20.100000000000001" customHeight="1">
      <c r="C102" s="325"/>
      <c r="D102" s="279" t="s">
        <v>75</v>
      </c>
      <c r="E102" s="320">
        <v>1.3</v>
      </c>
      <c r="F102" s="12" t="s">
        <v>24</v>
      </c>
      <c r="G102" s="12"/>
      <c r="H102" s="12"/>
      <c r="I102" s="326"/>
      <c r="J102" s="262"/>
    </row>
    <row r="103" spans="3:10" ht="20.100000000000001" customHeight="1">
      <c r="C103" s="325"/>
      <c r="D103" s="279" t="s">
        <v>11</v>
      </c>
      <c r="E103" s="320">
        <v>5</v>
      </c>
      <c r="F103" s="12" t="s">
        <v>26</v>
      </c>
      <c r="G103" s="12"/>
      <c r="H103" s="12"/>
      <c r="I103" s="326"/>
      <c r="J103" s="262"/>
    </row>
    <row r="104" spans="3:10" ht="20.100000000000001" customHeight="1">
      <c r="C104" s="325"/>
      <c r="D104" s="12" t="s">
        <v>336</v>
      </c>
      <c r="E104" s="259">
        <f>E101*E102*E103</f>
        <v>47875.262499999997</v>
      </c>
      <c r="F104" s="12" t="s">
        <v>10</v>
      </c>
      <c r="G104" s="12"/>
      <c r="H104" s="12"/>
      <c r="I104" s="326"/>
      <c r="J104" s="262"/>
    </row>
    <row r="105" spans="3:10" ht="20.100000000000001" customHeight="1">
      <c r="C105" s="347"/>
      <c r="D105" s="10" t="s">
        <v>474</v>
      </c>
      <c r="E105" s="320"/>
      <c r="F105" s="12"/>
      <c r="G105" s="12"/>
      <c r="H105" s="12"/>
      <c r="I105" s="348"/>
      <c r="J105" s="262"/>
    </row>
    <row r="106" spans="3:10" ht="20.100000000000001" customHeight="1">
      <c r="C106" s="349"/>
      <c r="D106" s="370"/>
      <c r="E106" s="370"/>
      <c r="F106" s="370"/>
      <c r="G106" s="370"/>
      <c r="H106" s="370"/>
      <c r="I106" s="350"/>
      <c r="J106" s="266"/>
    </row>
    <row r="107" spans="3:10" ht="24.95" customHeight="1">
      <c r="C107" s="311" t="s">
        <v>448</v>
      </c>
      <c r="D107" s="620" t="str">
        <f>VLOOKUP($C107,Orçamento!B:I,3,0)</f>
        <v>ATERRO COMPACTADO COM ROLO VIBRATÓRIO A 95% DO P.N.</v>
      </c>
      <c r="E107" s="620"/>
      <c r="F107" s="620"/>
      <c r="G107" s="620"/>
      <c r="H107" s="620"/>
      <c r="I107" s="547" t="str">
        <f>VLOOKUP($C107,Orçamento!B:I,4,0)</f>
        <v>M3</v>
      </c>
      <c r="J107" s="273">
        <f>F114</f>
        <v>14730.85</v>
      </c>
    </row>
    <row r="108" spans="3:10" ht="20.100000000000001" customHeight="1">
      <c r="C108" s="313"/>
      <c r="D108" s="12"/>
      <c r="E108" s="320"/>
      <c r="F108" s="12"/>
      <c r="G108" s="12"/>
      <c r="H108" s="12"/>
      <c r="I108" s="314"/>
      <c r="J108" s="287"/>
    </row>
    <row r="109" spans="3:10" ht="20.100000000000001" customHeight="1">
      <c r="C109" s="313"/>
      <c r="D109" s="624" t="s">
        <v>100</v>
      </c>
      <c r="E109" s="624"/>
      <c r="F109" s="311" t="s">
        <v>99</v>
      </c>
      <c r="G109" s="311" t="s">
        <v>121</v>
      </c>
      <c r="H109" s="624" t="s">
        <v>122</v>
      </c>
      <c r="I109" s="624"/>
      <c r="J109" s="287"/>
    </row>
    <row r="110" spans="3:10" ht="20.100000000000001" customHeight="1">
      <c r="C110" s="313"/>
      <c r="D110" s="624" t="s">
        <v>101</v>
      </c>
      <c r="E110" s="624"/>
      <c r="F110" s="94">
        <v>4813.97</v>
      </c>
      <c r="G110" s="94" t="s">
        <v>434</v>
      </c>
      <c r="H110" s="624" t="s">
        <v>436</v>
      </c>
      <c r="I110" s="624"/>
      <c r="J110" s="287"/>
    </row>
    <row r="111" spans="3:10" ht="20.100000000000001" customHeight="1">
      <c r="C111" s="313"/>
      <c r="D111" s="624" t="s">
        <v>430</v>
      </c>
      <c r="E111" s="624"/>
      <c r="F111" s="94">
        <v>877.07</v>
      </c>
      <c r="G111" s="94" t="s">
        <v>432</v>
      </c>
      <c r="H111" s="624" t="s">
        <v>435</v>
      </c>
      <c r="I111" s="624"/>
      <c r="J111" s="287"/>
    </row>
    <row r="112" spans="3:10" ht="20.100000000000001" customHeight="1">
      <c r="C112" s="313"/>
      <c r="D112" s="624" t="s">
        <v>431</v>
      </c>
      <c r="E112" s="624"/>
      <c r="F112" s="94">
        <v>507.73</v>
      </c>
      <c r="G112" s="94" t="s">
        <v>432</v>
      </c>
      <c r="H112" s="624" t="s">
        <v>435</v>
      </c>
      <c r="I112" s="624"/>
      <c r="J112" s="287"/>
    </row>
    <row r="113" spans="3:10" ht="20.100000000000001" customHeight="1">
      <c r="C113" s="313"/>
      <c r="D113" s="624" t="s">
        <v>424</v>
      </c>
      <c r="E113" s="624"/>
      <c r="F113" s="94">
        <v>8532.08</v>
      </c>
      <c r="G113" s="94" t="s">
        <v>433</v>
      </c>
      <c r="H113" s="624" t="s">
        <v>437</v>
      </c>
      <c r="I113" s="624"/>
      <c r="J113" s="287"/>
    </row>
    <row r="114" spans="3:10" ht="20.100000000000001" customHeight="1">
      <c r="C114" s="313"/>
      <c r="D114" s="624" t="s">
        <v>102</v>
      </c>
      <c r="E114" s="624"/>
      <c r="F114" s="94">
        <f>SUM(F110:F113)</f>
        <v>14730.85</v>
      </c>
      <c r="G114" s="307"/>
      <c r="H114" s="624"/>
      <c r="I114" s="624"/>
      <c r="J114" s="287"/>
    </row>
    <row r="115" spans="3:10" ht="20.100000000000001" customHeight="1">
      <c r="C115" s="630" t="s">
        <v>475</v>
      </c>
      <c r="D115" s="631"/>
      <c r="E115" s="631"/>
      <c r="F115" s="631"/>
      <c r="G115" s="631"/>
      <c r="H115" s="631"/>
      <c r="I115" s="631"/>
      <c r="J115" s="632"/>
    </row>
    <row r="116" spans="3:10" ht="20.100000000000001" customHeight="1">
      <c r="C116" s="313"/>
      <c r="D116" s="12"/>
      <c r="E116" s="320"/>
      <c r="F116" s="12"/>
      <c r="G116" s="12"/>
      <c r="H116" s="12"/>
      <c r="I116" s="314"/>
      <c r="J116" s="287"/>
    </row>
    <row r="117" spans="3:10" ht="24.95" customHeight="1">
      <c r="C117" s="283">
        <v>5</v>
      </c>
      <c r="D117" s="622" t="str">
        <f>VLOOKUP($C117,Orçamento!B:I,3,0)</f>
        <v>DRENAGEM</v>
      </c>
      <c r="E117" s="623"/>
      <c r="F117" s="623"/>
      <c r="G117" s="623"/>
      <c r="H117" s="623"/>
      <c r="I117" s="284"/>
      <c r="J117" s="285"/>
    </row>
    <row r="118" spans="3:10" ht="24.95" customHeight="1">
      <c r="C118" s="288" t="s">
        <v>57</v>
      </c>
      <c r="D118" s="617" t="str">
        <f>VLOOKUP($C118,Orçamento!B:I,3,0)</f>
        <v>LOCAÇÃO TOPOGRÁFICA DE 20 A 50 PONTOS</v>
      </c>
      <c r="E118" s="618"/>
      <c r="F118" s="618"/>
      <c r="G118" s="618"/>
      <c r="H118" s="619"/>
      <c r="I118" s="547" t="str">
        <f>VLOOKUP($C118,Orçamento!B:I,4,0)</f>
        <v>PT</v>
      </c>
      <c r="J118" s="273">
        <v>50</v>
      </c>
    </row>
    <row r="119" spans="3:10" ht="35.1" customHeight="1">
      <c r="C119" s="288" t="s">
        <v>58</v>
      </c>
      <c r="D119" s="617" t="str">
        <f>VLOOKUP($C119,Orçamento!B:I,3,0)</f>
        <v>ESCORAMENTO DE VALA TIPO DESCONTÍNUO EMPREGANDO PRANCHAS E
LONGARINAS DE PEROBA</v>
      </c>
      <c r="E119" s="618"/>
      <c r="F119" s="618"/>
      <c r="G119" s="618"/>
      <c r="H119" s="619"/>
      <c r="I119" s="547" t="str">
        <f>VLOOKUP($C119,Orçamento!B:I,4,0)</f>
        <v>M2</v>
      </c>
      <c r="J119" s="273">
        <f>Drenagem!AV305</f>
        <v>2173.1718546915381</v>
      </c>
    </row>
    <row r="120" spans="3:10" ht="35.1" customHeight="1">
      <c r="C120" s="288" t="s">
        <v>86</v>
      </c>
      <c r="D120" s="617" t="str">
        <f>VLOOKUP(C120,Orçamento!B:I,3,0)</f>
        <v>ESCORAMENTO DE VALA TIPO CONTÍNUO EMPREGANDO PRANCHAS E
LONGARINAS DE PEROBA</v>
      </c>
      <c r="E120" s="618"/>
      <c r="F120" s="618"/>
      <c r="G120" s="618"/>
      <c r="H120" s="619"/>
      <c r="I120" s="547" t="str">
        <f>VLOOKUP($C120,Orçamento!B:I,4,0)</f>
        <v>M2</v>
      </c>
      <c r="J120" s="273">
        <f>Drenagem!AW305+Drenagem!AX305+Drenagem!AY305</f>
        <v>448.27146765323494</v>
      </c>
    </row>
    <row r="121" spans="3:10" ht="24.95" customHeight="1">
      <c r="C121" s="288" t="s">
        <v>109</v>
      </c>
      <c r="D121" s="617" t="str">
        <f>VLOOKUP(C121,Orçamento!B:I,3,0)</f>
        <v>ESCAVAÇÃO MECÂNICA DE VALAS COM DESCARGA LATERAL H &lt;= 1,50 M</v>
      </c>
      <c r="E121" s="618"/>
      <c r="F121" s="618"/>
      <c r="G121" s="618"/>
      <c r="H121" s="619"/>
      <c r="I121" s="547" t="str">
        <f>VLOOKUP($C121,Orçamento!B:I,4,0)</f>
        <v>M3</v>
      </c>
      <c r="J121" s="273">
        <f>Drenagem!AA305</f>
        <v>1142.5214062380778</v>
      </c>
    </row>
    <row r="122" spans="3:10" ht="24.95" customHeight="1">
      <c r="C122" s="288" t="s">
        <v>87</v>
      </c>
      <c r="D122" s="617" t="str">
        <f>VLOOKUP($C122,Orçamento!B:I,3,0)</f>
        <v>ESCAVAÇÃO MECÂNICA DE VALAS COM DESCARGA LATERAL 1,50 M &lt; H &lt;= 3,00 M</v>
      </c>
      <c r="E122" s="618"/>
      <c r="F122" s="618"/>
      <c r="G122" s="618"/>
      <c r="H122" s="619"/>
      <c r="I122" s="547" t="str">
        <f>VLOOKUP($C122,Orçamento!B:I,4,0)</f>
        <v>M3</v>
      </c>
      <c r="J122" s="273">
        <f>Drenagem!AC305</f>
        <v>248.20191397489137</v>
      </c>
    </row>
    <row r="123" spans="3:10" ht="24.95" customHeight="1">
      <c r="C123" s="288" t="s">
        <v>88</v>
      </c>
      <c r="D123" s="617" t="str">
        <f>VLOOKUP($C123,Orçamento!B:I,3,0)</f>
        <v>ESCAVACAO MECANICA DE VALAS (SOLO COM AGUA), PROFUNDIDADE ATE 1,50 M</v>
      </c>
      <c r="E123" s="618"/>
      <c r="F123" s="618"/>
      <c r="G123" s="618"/>
      <c r="H123" s="619"/>
      <c r="I123" s="547" t="str">
        <f>VLOOKUP($C123,Orçamento!B:I,4,0)</f>
        <v>M3</v>
      </c>
      <c r="J123" s="273">
        <f>Drenagem!AM305</f>
        <v>315.67391212207838</v>
      </c>
    </row>
    <row r="124" spans="3:10" ht="24.95" customHeight="1">
      <c r="C124" s="288" t="s">
        <v>394</v>
      </c>
      <c r="D124" s="617" t="str">
        <f>VLOOKUP($C124,Orçamento!B:I,3,0)</f>
        <v>ESCAVACAO MECANICA DE VALAS (SOLO COM AGUA), PROFUNDIDADE MAIOR QUE 1,50 M ATE 4,00 M</v>
      </c>
      <c r="E124" s="618"/>
      <c r="F124" s="618"/>
      <c r="G124" s="618"/>
      <c r="H124" s="619"/>
      <c r="I124" s="547" t="str">
        <f>VLOOKUP($C124,Orçamento!B:I,4,0)</f>
        <v>M3</v>
      </c>
      <c r="J124" s="273">
        <f>Drenagem!AO305+Drenagem!AQ305</f>
        <v>144.83601843301892</v>
      </c>
    </row>
    <row r="125" spans="3:10" ht="24.95" customHeight="1">
      <c r="C125" s="288" t="s">
        <v>395</v>
      </c>
      <c r="D125" s="617" t="str">
        <f>VLOOKUP($C125,Orçamento!B:I,3,0)</f>
        <v>CARGA DE MATERIAL DE QUALQUER NATUREZA SOBRE CAMINHÃO - MECÂNICA</v>
      </c>
      <c r="E125" s="618"/>
      <c r="F125" s="618"/>
      <c r="G125" s="618"/>
      <c r="H125" s="619"/>
      <c r="I125" s="547" t="str">
        <f>VLOOKUP($C125,Orçamento!B:I,4,0)</f>
        <v>M3</v>
      </c>
      <c r="J125" s="273">
        <f>E129+H129</f>
        <v>996.91263744936407</v>
      </c>
    </row>
    <row r="126" spans="3:10" ht="20.100000000000001" customHeight="1">
      <c r="C126" s="206"/>
      <c r="D126" s="12"/>
      <c r="E126" s="13"/>
      <c r="F126" s="12"/>
      <c r="G126" s="12"/>
      <c r="H126" s="12"/>
      <c r="I126" s="207"/>
      <c r="J126" s="262"/>
    </row>
    <row r="127" spans="3:10" ht="20.100000000000001" customHeight="1">
      <c r="C127" s="206"/>
      <c r="D127" s="12" t="s">
        <v>382</v>
      </c>
      <c r="E127" s="13">
        <f>Drenagem!BC305</f>
        <v>766.85587496104927</v>
      </c>
      <c r="F127" s="12" t="s">
        <v>10</v>
      </c>
      <c r="G127" s="264"/>
      <c r="H127" s="320"/>
      <c r="I127" s="12"/>
      <c r="J127" s="269"/>
    </row>
    <row r="128" spans="3:10" ht="20.100000000000001" customHeight="1">
      <c r="C128" s="206"/>
      <c r="D128" s="12" t="s">
        <v>75</v>
      </c>
      <c r="E128" s="13">
        <v>1.3</v>
      </c>
      <c r="F128" s="12" t="s">
        <v>24</v>
      </c>
      <c r="G128" s="12"/>
      <c r="H128" s="320"/>
      <c r="I128" s="12"/>
      <c r="J128" s="269"/>
    </row>
    <row r="129" spans="3:10" ht="20.100000000000001" customHeight="1">
      <c r="C129" s="206"/>
      <c r="D129" s="12" t="s">
        <v>120</v>
      </c>
      <c r="E129" s="203">
        <f>E127*E128</f>
        <v>996.91263744936407</v>
      </c>
      <c r="F129" s="12" t="s">
        <v>10</v>
      </c>
      <c r="G129" s="12"/>
      <c r="H129" s="320"/>
      <c r="I129" s="12"/>
      <c r="J129" s="287"/>
    </row>
    <row r="130" spans="3:10" ht="20.100000000000001" customHeight="1">
      <c r="C130" s="347"/>
      <c r="D130" s="10" t="s">
        <v>380</v>
      </c>
      <c r="E130" s="320"/>
      <c r="F130" s="12"/>
      <c r="G130" s="10"/>
      <c r="H130" s="320"/>
      <c r="I130" s="12"/>
      <c r="J130" s="287"/>
    </row>
    <row r="131" spans="3:10" ht="20.100000000000001" customHeight="1">
      <c r="C131" s="349"/>
      <c r="D131" s="345"/>
      <c r="E131" s="204"/>
      <c r="F131" s="345"/>
      <c r="G131" s="345"/>
      <c r="H131" s="345"/>
      <c r="I131" s="345"/>
      <c r="J131" s="346"/>
    </row>
    <row r="132" spans="3:10" ht="35.1" customHeight="1">
      <c r="C132" s="274" t="s">
        <v>449</v>
      </c>
      <c r="D132" s="617" t="str">
        <f>VLOOKUP($C132,Orçamento!B:I,3,0)</f>
        <v>TRANSPORTE DE MATERIAL DE QUALQUER NATUREZA EM CAMINHÃO DMT &gt; 5 KM (DENTRO DO PERÍMETRO URBANO) - BOTA FORA</v>
      </c>
      <c r="E132" s="618"/>
      <c r="F132" s="618"/>
      <c r="G132" s="618"/>
      <c r="H132" s="619"/>
      <c r="I132" s="547" t="str">
        <f>VLOOKUP($C132,Orçamento!B:I,4,0)</f>
        <v>M3XKM</v>
      </c>
      <c r="J132" s="273">
        <f>E137+H137</f>
        <v>5183.9457147366929</v>
      </c>
    </row>
    <row r="133" spans="3:10" ht="16.5" customHeight="1">
      <c r="C133" s="206"/>
      <c r="D133" s="12"/>
      <c r="E133" s="13"/>
      <c r="F133" s="12"/>
      <c r="G133" s="12"/>
      <c r="H133" s="12"/>
      <c r="I133" s="207"/>
      <c r="J133" s="262"/>
    </row>
    <row r="134" spans="3:10" ht="20.100000000000001" customHeight="1">
      <c r="C134" s="206"/>
      <c r="D134" s="12" t="s">
        <v>345</v>
      </c>
      <c r="E134" s="13"/>
      <c r="F134" s="12"/>
      <c r="G134" s="12"/>
      <c r="H134" s="320"/>
      <c r="I134" s="12"/>
      <c r="J134" s="262"/>
    </row>
    <row r="135" spans="3:10" ht="20.100000000000001" customHeight="1">
      <c r="C135" s="206"/>
      <c r="D135" s="12" t="s">
        <v>120</v>
      </c>
      <c r="E135" s="13">
        <f>E129</f>
        <v>996.91263744936407</v>
      </c>
      <c r="F135" s="12" t="s">
        <v>10</v>
      </c>
      <c r="G135" s="12"/>
      <c r="H135" s="320"/>
      <c r="I135" s="12"/>
      <c r="J135" s="269"/>
    </row>
    <row r="136" spans="3:10" ht="20.100000000000001" customHeight="1">
      <c r="C136" s="206"/>
      <c r="D136" s="12" t="s">
        <v>11</v>
      </c>
      <c r="E136" s="13">
        <v>5.2</v>
      </c>
      <c r="F136" s="12" t="s">
        <v>26</v>
      </c>
      <c r="G136" s="12"/>
      <c r="H136" s="320"/>
      <c r="I136" s="12"/>
      <c r="J136" s="287"/>
    </row>
    <row r="137" spans="3:10" ht="20.100000000000001" customHeight="1">
      <c r="C137" s="206"/>
      <c r="D137" s="279" t="s">
        <v>336</v>
      </c>
      <c r="E137" s="203">
        <f>E135*E136</f>
        <v>5183.9457147366929</v>
      </c>
      <c r="F137" s="12" t="s">
        <v>28</v>
      </c>
      <c r="G137" s="279"/>
      <c r="H137" s="320"/>
      <c r="I137" s="12"/>
      <c r="J137" s="287"/>
    </row>
    <row r="138" spans="3:10" ht="20.100000000000001" customHeight="1">
      <c r="C138" s="313"/>
      <c r="D138" s="279" t="s">
        <v>384</v>
      </c>
      <c r="E138" s="320"/>
      <c r="F138" s="12"/>
      <c r="G138" s="279"/>
      <c r="H138" s="320"/>
      <c r="I138" s="12"/>
      <c r="J138" s="287"/>
    </row>
    <row r="139" spans="3:10" ht="16.5" customHeight="1">
      <c r="C139" s="206"/>
      <c r="D139" s="12"/>
      <c r="E139" s="13"/>
      <c r="F139" s="12"/>
      <c r="G139" s="12"/>
      <c r="H139" s="12"/>
      <c r="I139" s="12"/>
      <c r="J139" s="269"/>
    </row>
    <row r="140" spans="3:10" ht="24.95" customHeight="1">
      <c r="C140" s="274" t="s">
        <v>450</v>
      </c>
      <c r="D140" s="617" t="str">
        <f>VLOOKUP($C140,Orçamento!B:I,3,0)</f>
        <v>ESCAVAÇÃO E CARGA COM TRATOR E CARREGADEIRA (MATERIAL DE 1ª CATEGORIA)</v>
      </c>
      <c r="E140" s="618"/>
      <c r="F140" s="618"/>
      <c r="G140" s="618"/>
      <c r="H140" s="619"/>
      <c r="I140" s="547" t="str">
        <f>VLOOKUP($C140,Orçamento!B:I,4,0)</f>
        <v>M3</v>
      </c>
      <c r="J140" s="273">
        <f>E144</f>
        <v>381.09722306699433</v>
      </c>
    </row>
    <row r="141" spans="3:10" ht="14.25" customHeight="1">
      <c r="C141" s="331"/>
      <c r="D141" s="12"/>
      <c r="E141" s="320"/>
      <c r="F141" s="12"/>
      <c r="G141" s="12"/>
      <c r="H141" s="12"/>
      <c r="I141" s="332"/>
      <c r="J141" s="262"/>
    </row>
    <row r="142" spans="3:10" ht="20.100000000000001" customHeight="1">
      <c r="C142" s="331"/>
      <c r="D142" s="279" t="s">
        <v>383</v>
      </c>
      <c r="E142" s="320">
        <f>Drenagem!BD305</f>
        <v>293.15171005153411</v>
      </c>
      <c r="F142" s="12" t="s">
        <v>10</v>
      </c>
      <c r="H142" s="7"/>
      <c r="J142" s="269"/>
    </row>
    <row r="143" spans="3:10" ht="20.100000000000001" customHeight="1">
      <c r="C143" s="331"/>
      <c r="D143" s="12" t="s">
        <v>75</v>
      </c>
      <c r="E143" s="320">
        <v>1.3</v>
      </c>
      <c r="F143" s="12" t="s">
        <v>24</v>
      </c>
      <c r="H143" s="7"/>
      <c r="J143" s="269"/>
    </row>
    <row r="144" spans="3:10" ht="20.100000000000001" customHeight="1">
      <c r="C144" s="331"/>
      <c r="D144" s="12" t="s">
        <v>120</v>
      </c>
      <c r="E144" s="259">
        <f>E142*E143</f>
        <v>381.09722306699433</v>
      </c>
      <c r="F144" s="12" t="s">
        <v>10</v>
      </c>
      <c r="H144" s="7"/>
      <c r="J144" s="287"/>
    </row>
    <row r="145" spans="3:10" ht="20.100000000000001" customHeight="1">
      <c r="C145" s="331"/>
      <c r="D145" s="10" t="s">
        <v>381</v>
      </c>
      <c r="E145" s="320"/>
      <c r="F145" s="12"/>
      <c r="H145" s="7"/>
      <c r="J145" s="287"/>
    </row>
    <row r="146" spans="3:10" ht="13.5" customHeight="1">
      <c r="C146" s="349"/>
      <c r="D146" s="370"/>
      <c r="E146" s="204"/>
      <c r="F146" s="370"/>
      <c r="G146" s="370"/>
      <c r="H146" s="370"/>
      <c r="I146" s="370"/>
      <c r="J146" s="371"/>
    </row>
    <row r="147" spans="3:10" ht="35.1" customHeight="1">
      <c r="C147" s="274" t="s">
        <v>451</v>
      </c>
      <c r="D147" s="617" t="str">
        <f>VLOOKUP($C147,Orçamento!B:I,3,0)</f>
        <v>TRANSPORTE DE MATERIAL DE QUALQUER NATUREZA EM CAMINHÃO 2 KM &lt; DMT &lt;= 5 KM (DENTRO DO PERÍMETRO URBANO) - EMPRÉSTIMO</v>
      </c>
      <c r="E147" s="618"/>
      <c r="F147" s="618"/>
      <c r="G147" s="618"/>
      <c r="H147" s="619"/>
      <c r="I147" s="547" t="str">
        <f>VLOOKUP($C147,Orçamento!B:I,4,0)</f>
        <v>M3XKM</v>
      </c>
      <c r="J147" s="273">
        <f>E152</f>
        <v>1905.4861153349716</v>
      </c>
    </row>
    <row r="148" spans="3:10" ht="20.100000000000001" customHeight="1">
      <c r="C148" s="331"/>
      <c r="D148" s="12"/>
      <c r="E148" s="320"/>
      <c r="F148" s="12"/>
      <c r="G148" s="12"/>
      <c r="H148" s="12"/>
      <c r="I148" s="332"/>
      <c r="J148" s="262"/>
    </row>
    <row r="149" spans="3:10" ht="20.100000000000001" customHeight="1">
      <c r="C149" s="331"/>
      <c r="D149" s="12" t="s">
        <v>346</v>
      </c>
      <c r="E149" s="320"/>
      <c r="F149" s="12"/>
      <c r="H149" s="7"/>
      <c r="J149" s="262"/>
    </row>
    <row r="150" spans="3:10" ht="20.100000000000001" customHeight="1">
      <c r="C150" s="331"/>
      <c r="D150" s="12" t="s">
        <v>120</v>
      </c>
      <c r="E150" s="320">
        <f>E144</f>
        <v>381.09722306699433</v>
      </c>
      <c r="F150" s="12" t="s">
        <v>10</v>
      </c>
      <c r="H150" s="7"/>
      <c r="J150" s="269"/>
    </row>
    <row r="151" spans="3:10" ht="20.100000000000001" customHeight="1">
      <c r="C151" s="331"/>
      <c r="D151" s="12" t="s">
        <v>11</v>
      </c>
      <c r="E151" s="320">
        <v>5</v>
      </c>
      <c r="F151" s="12" t="s">
        <v>26</v>
      </c>
      <c r="H151" s="7"/>
      <c r="J151" s="287"/>
    </row>
    <row r="152" spans="3:10" ht="20.100000000000001" customHeight="1">
      <c r="C152" s="331"/>
      <c r="D152" s="279" t="s">
        <v>336</v>
      </c>
      <c r="E152" s="259">
        <f>E150*E151</f>
        <v>1905.4861153349716</v>
      </c>
      <c r="F152" s="12" t="s">
        <v>28</v>
      </c>
      <c r="H152" s="7"/>
      <c r="J152" s="287"/>
    </row>
    <row r="153" spans="3:10" ht="20.100000000000001" customHeight="1">
      <c r="C153" s="331"/>
      <c r="D153" s="279" t="s">
        <v>384</v>
      </c>
      <c r="E153" s="320"/>
      <c r="F153" s="12"/>
      <c r="H153" s="7"/>
      <c r="J153" s="287"/>
    </row>
    <row r="154" spans="3:10" ht="20.100000000000001" customHeight="1">
      <c r="C154" s="331"/>
      <c r="D154" s="12"/>
      <c r="E154" s="320"/>
      <c r="F154" s="12"/>
      <c r="G154" s="12"/>
      <c r="H154" s="12"/>
      <c r="I154" s="12"/>
      <c r="J154" s="269"/>
    </row>
    <row r="155" spans="3:10" ht="24.95" customHeight="1">
      <c r="C155" s="274" t="s">
        <v>452</v>
      </c>
      <c r="D155" s="617" t="str">
        <f>VLOOKUP($C155,Orçamento!B:I,3,0)</f>
        <v>REGULARIZAÇÃO E COMPACTAÇÃO DE TERRENO COM PLACA VIBRATÓRIA</v>
      </c>
      <c r="E155" s="618"/>
      <c r="F155" s="618"/>
      <c r="G155" s="618"/>
      <c r="H155" s="619"/>
      <c r="I155" s="547" t="str">
        <f>VLOOKUP($C155,Orçamento!B:I,4,0)</f>
        <v>M2</v>
      </c>
      <c r="J155" s="273">
        <f>Drenagem!BE305</f>
        <v>972.13021224010413</v>
      </c>
    </row>
    <row r="156" spans="3:10" ht="24.95" customHeight="1">
      <c r="C156" s="289" t="s">
        <v>453</v>
      </c>
      <c r="D156" s="627" t="str">
        <f>VLOOKUP($C156,Orçamento!B:I,3,0)</f>
        <v>REATERRO MANUAL DE VALA</v>
      </c>
      <c r="E156" s="628"/>
      <c r="F156" s="628"/>
      <c r="G156" s="628"/>
      <c r="H156" s="629"/>
      <c r="I156" s="547" t="str">
        <f>VLOOKUP($C156,Orçamento!B:I,4,0)</f>
        <v>M3</v>
      </c>
      <c r="J156" s="270">
        <f>E160</f>
        <v>275.50581717171025</v>
      </c>
    </row>
    <row r="157" spans="3:10" ht="20.100000000000001" customHeight="1">
      <c r="C157" s="277"/>
      <c r="D157" s="308"/>
      <c r="E157" s="308"/>
      <c r="F157" s="308"/>
      <c r="G157" s="308"/>
      <c r="H157" s="308"/>
      <c r="I157" s="312"/>
      <c r="J157" s="261"/>
    </row>
    <row r="158" spans="3:10" ht="20.100000000000001" customHeight="1">
      <c r="C158" s="278"/>
      <c r="D158" s="12" t="s">
        <v>476</v>
      </c>
      <c r="E158" s="320">
        <f>Drenagem!BB305</f>
        <v>1377.5290858585513</v>
      </c>
      <c r="F158" s="12" t="s">
        <v>10</v>
      </c>
      <c r="G158" s="12"/>
      <c r="H158" s="12"/>
      <c r="I158" s="314"/>
      <c r="J158" s="262"/>
    </row>
    <row r="159" spans="3:10" ht="20.100000000000001" customHeight="1">
      <c r="C159" s="278"/>
      <c r="D159" s="264" t="s">
        <v>385</v>
      </c>
      <c r="E159" s="265">
        <v>0.2</v>
      </c>
      <c r="F159" s="12" t="s">
        <v>24</v>
      </c>
      <c r="G159" s="12"/>
      <c r="H159" s="12"/>
      <c r="I159" s="314"/>
      <c r="J159" s="262"/>
    </row>
    <row r="160" spans="3:10" ht="20.100000000000001" customHeight="1">
      <c r="C160" s="278"/>
      <c r="D160" s="279" t="s">
        <v>335</v>
      </c>
      <c r="E160" s="263">
        <f>E158*E159</f>
        <v>275.50581717171025</v>
      </c>
      <c r="F160" s="12" t="s">
        <v>10</v>
      </c>
      <c r="G160" s="12"/>
      <c r="H160" s="12"/>
      <c r="I160" s="314"/>
      <c r="J160" s="262"/>
    </row>
    <row r="161" spans="3:10" ht="20.100000000000001" customHeight="1">
      <c r="C161" s="278"/>
      <c r="D161" s="279" t="s">
        <v>477</v>
      </c>
      <c r="E161" s="12"/>
      <c r="F161" s="12"/>
      <c r="G161" s="12"/>
      <c r="H161" s="12"/>
      <c r="I161" s="314"/>
      <c r="J161" s="262"/>
    </row>
    <row r="162" spans="3:10" ht="20.100000000000001" customHeight="1">
      <c r="C162" s="278"/>
      <c r="D162" s="279" t="s">
        <v>386</v>
      </c>
      <c r="E162" s="12"/>
      <c r="F162" s="12"/>
      <c r="G162" s="12"/>
      <c r="H162" s="12"/>
      <c r="I162" s="314"/>
      <c r="J162" s="262"/>
    </row>
    <row r="163" spans="3:10" ht="20.100000000000001" customHeight="1">
      <c r="C163" s="280"/>
      <c r="D163" s="309"/>
      <c r="E163" s="309"/>
      <c r="F163" s="309"/>
      <c r="G163" s="309"/>
      <c r="H163" s="309"/>
      <c r="I163" s="315"/>
      <c r="J163" s="266"/>
    </row>
    <row r="164" spans="3:10" ht="24.95" customHeight="1">
      <c r="C164" s="288" t="s">
        <v>454</v>
      </c>
      <c r="D164" s="641" t="str">
        <f>VLOOKUP($C164,Orçamento!B:I,3,0)</f>
        <v>REATERRO COMPACTADO DE VALA COM EQUIPAMENTO PLACA VIBRATÓRIA</v>
      </c>
      <c r="E164" s="642"/>
      <c r="F164" s="642"/>
      <c r="G164" s="642"/>
      <c r="H164" s="643"/>
      <c r="I164" s="547" t="str">
        <f>VLOOKUP($C164,Orçamento!B:I,4,0)</f>
        <v>M3</v>
      </c>
      <c r="J164" s="272">
        <f>E168</f>
        <v>1102.023268686841</v>
      </c>
    </row>
    <row r="165" spans="3:10" ht="20.100000000000001" customHeight="1">
      <c r="C165" s="277"/>
      <c r="D165" s="308"/>
      <c r="E165" s="308"/>
      <c r="F165" s="308"/>
      <c r="G165" s="308"/>
      <c r="H165" s="308"/>
      <c r="I165" s="312"/>
      <c r="J165" s="261"/>
    </row>
    <row r="166" spans="3:10" ht="20.100000000000001" customHeight="1">
      <c r="C166" s="278"/>
      <c r="D166" s="12" t="s">
        <v>476</v>
      </c>
      <c r="E166" s="320">
        <f>Drenagem!BB305</f>
        <v>1377.5290858585513</v>
      </c>
      <c r="F166" s="12" t="s">
        <v>10</v>
      </c>
      <c r="G166" s="12"/>
      <c r="H166" s="12"/>
      <c r="I166" s="314"/>
      <c r="J166" s="262"/>
    </row>
    <row r="167" spans="3:10" ht="20.100000000000001" customHeight="1">
      <c r="C167" s="278"/>
      <c r="D167" s="264" t="s">
        <v>385</v>
      </c>
      <c r="E167" s="265">
        <v>0.8</v>
      </c>
      <c r="F167" s="12" t="s">
        <v>24</v>
      </c>
      <c r="G167" s="12"/>
      <c r="H167" s="12"/>
      <c r="I167" s="314"/>
      <c r="J167" s="262"/>
    </row>
    <row r="168" spans="3:10" ht="20.100000000000001" customHeight="1">
      <c r="C168" s="278"/>
      <c r="D168" s="279" t="s">
        <v>335</v>
      </c>
      <c r="E168" s="263">
        <f>E166*E167</f>
        <v>1102.023268686841</v>
      </c>
      <c r="F168" s="12" t="s">
        <v>10</v>
      </c>
      <c r="G168" s="12"/>
      <c r="H168" s="12"/>
      <c r="I168" s="314"/>
      <c r="J168" s="262"/>
    </row>
    <row r="169" spans="3:10" ht="20.100000000000001" customHeight="1">
      <c r="C169" s="278"/>
      <c r="D169" s="279" t="s">
        <v>477</v>
      </c>
      <c r="E169" s="12"/>
      <c r="F169" s="12"/>
      <c r="G169" s="12"/>
      <c r="H169" s="12"/>
      <c r="I169" s="314"/>
      <c r="J169" s="262"/>
    </row>
    <row r="170" spans="3:10" ht="20.100000000000001" customHeight="1">
      <c r="C170" s="278"/>
      <c r="D170" s="279" t="s">
        <v>386</v>
      </c>
      <c r="E170" s="12"/>
      <c r="F170" s="12"/>
      <c r="G170" s="12"/>
      <c r="H170" s="12"/>
      <c r="I170" s="314"/>
      <c r="J170" s="262"/>
    </row>
    <row r="171" spans="3:10" ht="20.100000000000001" customHeight="1">
      <c r="C171" s="280"/>
      <c r="D171" s="309"/>
      <c r="E171" s="309"/>
      <c r="F171" s="309"/>
      <c r="G171" s="309"/>
      <c r="H171" s="309"/>
      <c r="I171" s="315"/>
      <c r="J171" s="266"/>
    </row>
    <row r="172" spans="3:10" ht="24.95" customHeight="1">
      <c r="C172" s="274" t="s">
        <v>455</v>
      </c>
      <c r="D172" s="617" t="str">
        <f>VLOOKUP($C172,Orçamento!B:I,3,0)</f>
        <v>CONCRETO PARA BERÇO DE REDE TUBULAR TRAÇO 1:3:6, INCLUSIVE LANÇAMENTO</v>
      </c>
      <c r="E172" s="618"/>
      <c r="F172" s="618"/>
      <c r="G172" s="618"/>
      <c r="H172" s="619"/>
      <c r="I172" s="547" t="str">
        <f>VLOOKUP($C172,Orçamento!B:I,4,0)</f>
        <v>M3</v>
      </c>
      <c r="J172" s="273">
        <f>Drenagem!BK305</f>
        <v>182.75988811932982</v>
      </c>
    </row>
    <row r="173" spans="3:10" ht="24.95" customHeight="1">
      <c r="C173" s="274" t="s">
        <v>456</v>
      </c>
      <c r="D173" s="617" t="str">
        <f>VLOOKUP($C173,Orçamento!B:I,3,0)</f>
        <v>FORMA PARA BERÇO EM TABUA, INCLUSIVE DESFORMA</v>
      </c>
      <c r="E173" s="618"/>
      <c r="F173" s="618"/>
      <c r="G173" s="618"/>
      <c r="H173" s="619"/>
      <c r="I173" s="547" t="str">
        <f>VLOOKUP($C173,Orçamento!B:I,4,0)</f>
        <v>M2</v>
      </c>
      <c r="J173" s="273">
        <f>Drenagem!BL305</f>
        <v>467.6919287007039</v>
      </c>
    </row>
    <row r="174" spans="3:10" ht="35.1" customHeight="1">
      <c r="C174" s="274" t="s">
        <v>457</v>
      </c>
      <c r="D174" s="617" t="str">
        <f>VLOOKUP($C174,Orçamento!B:I,3,0)</f>
        <v>FORNECIMENTO, ASSENTAMENTO E REJUNTAMENTO DE TUBO DE
CONCRETO ARMADO PA1 D = 400 MM</v>
      </c>
      <c r="E174" s="618"/>
      <c r="F174" s="618"/>
      <c r="G174" s="618"/>
      <c r="H174" s="619"/>
      <c r="I174" s="547" t="str">
        <f>VLOOKUP($C174,Orçamento!B:I,4,0)</f>
        <v>M</v>
      </c>
      <c r="J174" s="273">
        <f>Drenagem!M21</f>
        <v>51.880648495946922</v>
      </c>
    </row>
    <row r="175" spans="3:10" ht="35.1" customHeight="1">
      <c r="C175" s="274" t="s">
        <v>458</v>
      </c>
      <c r="D175" s="617" t="str">
        <f>VLOOKUP($C175,Orçamento!B:I,3,0)</f>
        <v>FORNECIMENTO, ASSENTAMENTO E REJUNTAMENTO DE TUBO DE
CONCRETO ARMADO PA1 D = 600 MM</v>
      </c>
      <c r="E175" s="618"/>
      <c r="F175" s="618"/>
      <c r="G175" s="618"/>
      <c r="H175" s="619"/>
      <c r="I175" s="547" t="str">
        <f>VLOOKUP($C175,Orçamento!B:I,4,0)</f>
        <v>M</v>
      </c>
      <c r="J175" s="273">
        <f>Drenagem!N21</f>
        <v>580.21022332983591</v>
      </c>
    </row>
    <row r="176" spans="3:10" ht="35.1" customHeight="1">
      <c r="C176" s="274" t="s">
        <v>459</v>
      </c>
      <c r="D176" s="617" t="str">
        <f>VLOOKUP($C176,Orçamento!B:I,3,0)</f>
        <v>FORNECIMENTO, ASSENTAMENTO E REJUNTAMENTO DE TUBO DE CONCRETO ARMADO PA1 D = 800 MM</v>
      </c>
      <c r="E176" s="618"/>
      <c r="F176" s="618"/>
      <c r="G176" s="618"/>
      <c r="H176" s="619"/>
      <c r="I176" s="547" t="str">
        <f>VLOOKUP($C176,Orçamento!B:I,4,0)</f>
        <v>M</v>
      </c>
      <c r="J176" s="273">
        <f>Drenagem!O21</f>
        <v>72.006623214878474</v>
      </c>
    </row>
    <row r="177" spans="3:10" ht="35.1" customHeight="1">
      <c r="C177" s="274" t="s">
        <v>460</v>
      </c>
      <c r="D177" s="617" t="str">
        <f>VLOOKUP($C177,Orçamento!B:I,3,0)</f>
        <v>POÇO DE VISITA PARA REDE TUBULAR TIPO A DN 500, EXCLUSIVE ESCAVAÇÃO, REATERRO E BOTA FORA</v>
      </c>
      <c r="E177" s="618"/>
      <c r="F177" s="618"/>
      <c r="G177" s="618"/>
      <c r="H177" s="619"/>
      <c r="I177" s="547" t="str">
        <f>VLOOKUP($C177,Orçamento!B:I,4,0)</f>
        <v xml:space="preserve">UN </v>
      </c>
      <c r="J177" s="273">
        <f>Drenagem!J12</f>
        <v>1</v>
      </c>
    </row>
    <row r="178" spans="3:10" ht="35.1" customHeight="1">
      <c r="C178" s="274" t="s">
        <v>461</v>
      </c>
      <c r="D178" s="617" t="str">
        <f>VLOOKUP($C178,Orçamento!B:I,3,0)</f>
        <v>POÇO DE VISITA PARA REDE TUBULAR TIPO A DN 600, EXCLUSIVE ESCAVAÇÃO, REATERRO E BOTA FORA</v>
      </c>
      <c r="E178" s="618"/>
      <c r="F178" s="618"/>
      <c r="G178" s="618"/>
      <c r="H178" s="619"/>
      <c r="I178" s="547" t="str">
        <f>VLOOKUP($C178,Orçamento!B:I,4,0)</f>
        <v xml:space="preserve">UN </v>
      </c>
      <c r="J178" s="273">
        <f>Drenagem!J13</f>
        <v>10</v>
      </c>
    </row>
    <row r="179" spans="3:10" ht="35.1" customHeight="1">
      <c r="C179" s="274" t="s">
        <v>462</v>
      </c>
      <c r="D179" s="617" t="str">
        <f>VLOOKUP($C179,Orçamento!B:I,3,0)</f>
        <v>POÇO DE VISITA PARA REDE TUBULAR TIPO A DN 800, EXCLUSIVE ESCAVAÇÃO, REATERRO E BOTA FORA</v>
      </c>
      <c r="E179" s="618"/>
      <c r="F179" s="618"/>
      <c r="G179" s="618"/>
      <c r="H179" s="619"/>
      <c r="I179" s="547" t="str">
        <f>VLOOKUP($C179,Orçamento!B:I,4,0)</f>
        <v xml:space="preserve">UN </v>
      </c>
      <c r="J179" s="273">
        <f>Drenagem!J15</f>
        <v>1</v>
      </c>
    </row>
    <row r="180" spans="3:10" ht="24.95" customHeight="1">
      <c r="C180" s="274" t="s">
        <v>463</v>
      </c>
      <c r="D180" s="617" t="str">
        <f>VLOOKUP($C180,Orçamento!B:I,3,0)</f>
        <v>CHAMINÉ DE POÇO DE VISITA TIPO "B", EM ANEL DE CONCRETO CA-1 COM DEGRAUS DE AÇO CA-50</v>
      </c>
      <c r="E180" s="618"/>
      <c r="F180" s="618"/>
      <c r="G180" s="618"/>
      <c r="H180" s="619"/>
      <c r="I180" s="547" t="str">
        <f>VLOOKUP($C180,Orçamento!B:I,4,0)</f>
        <v>M</v>
      </c>
      <c r="J180" s="273">
        <f>Drenagem!T305</f>
        <v>6.2700000000000005</v>
      </c>
    </row>
    <row r="181" spans="3:10" ht="24.95" customHeight="1">
      <c r="C181" s="274" t="s">
        <v>464</v>
      </c>
      <c r="D181" s="617" t="str">
        <f>VLOOKUP($C181,Orçamento!B:I,3,0)</f>
        <v>TAMPÃO DE FERRO FUNDIDO PARA POÇO DE VISITA</v>
      </c>
      <c r="E181" s="618"/>
      <c r="F181" s="618"/>
      <c r="G181" s="618"/>
      <c r="H181" s="619"/>
      <c r="I181" s="547" t="str">
        <f>VLOOKUP($C181,Orçamento!B:I,4,0)</f>
        <v xml:space="preserve">UN </v>
      </c>
      <c r="J181" s="273">
        <f>SUM(J177:J179)</f>
        <v>12</v>
      </c>
    </row>
    <row r="182" spans="3:10" ht="35.1" customHeight="1">
      <c r="C182" s="274" t="s">
        <v>465</v>
      </c>
      <c r="D182" s="617" t="str">
        <f>VLOOKUP($C182,Orçamento!B:I,3,0)</f>
        <v>BOCA DE LOBO SIMPLES (TIPO B - CONCRETO), QUADRO, GRELHA E CANTONEIRA, INCLUSIVE ESCAVAÇÃO, REATERRO E BOTA-FORA</v>
      </c>
      <c r="E182" s="618"/>
      <c r="F182" s="618"/>
      <c r="G182" s="618"/>
      <c r="H182" s="619"/>
      <c r="I182" s="547" t="str">
        <f>VLOOKUP($C182,Orçamento!B:I,4,0)</f>
        <v xml:space="preserve">UN </v>
      </c>
      <c r="J182" s="273">
        <f>Drenagem!J22</f>
        <v>28</v>
      </c>
    </row>
    <row r="183" spans="3:10" ht="35.1" customHeight="1">
      <c r="C183" s="274" t="s">
        <v>466</v>
      </c>
      <c r="D183" s="617" t="str">
        <f>VLOOKUP($C183,Orçamento!B:I,3,0)</f>
        <v>BOCA DE LOBO DUPLA (TIPO B - CONCRETO), QUADRO, GRELHA E
CANTONEIRA, INCLUSIVE ESCAVAÇÃO, REATERRO E BOTA-FORA</v>
      </c>
      <c r="E183" s="618"/>
      <c r="F183" s="618"/>
      <c r="G183" s="618"/>
      <c r="H183" s="619"/>
      <c r="I183" s="547" t="str">
        <f>VLOOKUP($C183,Orçamento!B:I,4,0)</f>
        <v xml:space="preserve">UN </v>
      </c>
      <c r="J183" s="273">
        <f>Drenagem!J21</f>
        <v>24</v>
      </c>
    </row>
    <row r="184" spans="3:10" ht="24.95" customHeight="1">
      <c r="C184" s="274" t="s">
        <v>467</v>
      </c>
      <c r="D184" s="627" t="str">
        <f>VLOOKUP($C184,Orçamento!B:I,3,0)</f>
        <v>ALA DE REDE TUBULAR DN 600, EXCLUSIVE BOTA FORA</v>
      </c>
      <c r="E184" s="628"/>
      <c r="F184" s="628"/>
      <c r="G184" s="628"/>
      <c r="H184" s="629"/>
      <c r="I184" s="547" t="str">
        <f>VLOOKUP($C184,Orçamento!B:I,4,0)</f>
        <v xml:space="preserve">UN </v>
      </c>
      <c r="J184" s="270">
        <f>Drenagem!K13</f>
        <v>1</v>
      </c>
    </row>
    <row r="185" spans="3:10" ht="24.95" customHeight="1">
      <c r="C185" s="274" t="s">
        <v>468</v>
      </c>
      <c r="D185" s="617" t="str">
        <f>VLOOKUP($C185,Orçamento!B:I,3,0)</f>
        <v>ALA DE REDE TUBULAR DN 800, EXCLUSIVE BOTA FORA</v>
      </c>
      <c r="E185" s="618"/>
      <c r="F185" s="618"/>
      <c r="G185" s="618"/>
      <c r="H185" s="619"/>
      <c r="I185" s="547" t="str">
        <f>VLOOKUP($C185,Orçamento!B:I,4,0)</f>
        <v xml:space="preserve">UN </v>
      </c>
      <c r="J185" s="273">
        <f>Drenagem!K15</f>
        <v>4</v>
      </c>
    </row>
    <row r="186" spans="3:10" ht="24.95" customHeight="1">
      <c r="C186" s="286">
        <v>6</v>
      </c>
      <c r="D186" s="625" t="str">
        <f>VLOOKUP($C186,Orçamento!B:I,3,0)</f>
        <v>PAVIMENTAÇÃO</v>
      </c>
      <c r="E186" s="626"/>
      <c r="F186" s="626"/>
      <c r="G186" s="626"/>
      <c r="H186" s="626"/>
      <c r="I186" s="209"/>
      <c r="J186" s="266"/>
    </row>
    <row r="187" spans="3:10" ht="24.95" customHeight="1">
      <c r="C187" s="274" t="s">
        <v>83</v>
      </c>
      <c r="D187" s="617" t="str">
        <f>VLOOKUP($C187,Orçamento!B:I,3,0)</f>
        <v>ESCAVAÇÃO E CARGA COM TRATOR E CARREGADEIRA (MATERIAL DE 1ª CATEGORIA)</v>
      </c>
      <c r="E187" s="618"/>
      <c r="F187" s="618"/>
      <c r="G187" s="618"/>
      <c r="H187" s="619"/>
      <c r="I187" s="547" t="str">
        <f>VLOOKUP($C187,Orçamento!B:I,4,0)</f>
        <v>M3</v>
      </c>
      <c r="J187" s="273">
        <f>E194+H194</f>
        <v>4918.134</v>
      </c>
    </row>
    <row r="188" spans="3:10" ht="20.100000000000001" customHeight="1">
      <c r="C188" s="331"/>
      <c r="D188" s="12"/>
      <c r="E188" s="320"/>
      <c r="F188" s="12"/>
      <c r="G188" s="12"/>
      <c r="H188" s="12"/>
      <c r="I188" s="332"/>
      <c r="J188" s="262"/>
    </row>
    <row r="189" spans="3:10" ht="20.100000000000001" customHeight="1">
      <c r="C189" s="331"/>
      <c r="D189" s="12" t="s">
        <v>387</v>
      </c>
      <c r="E189" s="320"/>
      <c r="F189" s="12"/>
      <c r="G189" s="12" t="s">
        <v>399</v>
      </c>
      <c r="H189" s="320"/>
      <c r="I189" s="12"/>
      <c r="J189" s="262"/>
    </row>
    <row r="190" spans="3:10" ht="20.100000000000001" customHeight="1">
      <c r="C190" s="331"/>
      <c r="D190" s="12" t="s">
        <v>407</v>
      </c>
      <c r="E190" s="320">
        <f>Pavimentação!I12</f>
        <v>14</v>
      </c>
      <c r="F190" s="12" t="s">
        <v>4</v>
      </c>
      <c r="G190" s="12" t="s">
        <v>407</v>
      </c>
      <c r="H190" s="320">
        <f>Pavimentação!I14</f>
        <v>10</v>
      </c>
      <c r="I190" s="12" t="s">
        <v>4</v>
      </c>
      <c r="J190" s="269"/>
    </row>
    <row r="191" spans="3:10" ht="20.100000000000001" customHeight="1">
      <c r="C191" s="331"/>
      <c r="D191" s="12" t="s">
        <v>408</v>
      </c>
      <c r="E191" s="320">
        <f>Pavimentação!E12+Pavimentação!E13</f>
        <v>260</v>
      </c>
      <c r="F191" s="12" t="s">
        <v>4</v>
      </c>
      <c r="G191" s="12" t="s">
        <v>408</v>
      </c>
      <c r="H191" s="320">
        <f>Pavimentação!E14</f>
        <v>266.52999999999997</v>
      </c>
      <c r="I191" s="12" t="s">
        <v>4</v>
      </c>
      <c r="J191" s="269"/>
    </row>
    <row r="192" spans="3:10" ht="20.100000000000001" customHeight="1">
      <c r="C192" s="331"/>
      <c r="D192" s="12" t="s">
        <v>409</v>
      </c>
      <c r="E192" s="320">
        <v>0.6</v>
      </c>
      <c r="F192" s="12" t="s">
        <v>4</v>
      </c>
      <c r="G192" s="12" t="s">
        <v>409</v>
      </c>
      <c r="H192" s="320">
        <v>0.6</v>
      </c>
      <c r="I192" s="12" t="s">
        <v>4</v>
      </c>
      <c r="J192" s="269"/>
    </row>
    <row r="193" spans="3:10" ht="20.100000000000001" customHeight="1">
      <c r="C193" s="331"/>
      <c r="D193" s="12" t="s">
        <v>75</v>
      </c>
      <c r="E193" s="320">
        <v>1.3</v>
      </c>
      <c r="F193" s="12" t="s">
        <v>24</v>
      </c>
      <c r="G193" s="12" t="s">
        <v>75</v>
      </c>
      <c r="H193" s="320">
        <v>1.3</v>
      </c>
      <c r="I193" s="12" t="s">
        <v>24</v>
      </c>
      <c r="J193" s="269"/>
    </row>
    <row r="194" spans="3:10" ht="20.100000000000001" customHeight="1">
      <c r="C194" s="331"/>
      <c r="D194" s="12" t="s">
        <v>120</v>
      </c>
      <c r="E194" s="259">
        <f>E190*E191*E192*E193</f>
        <v>2839.2000000000003</v>
      </c>
      <c r="F194" s="12" t="s">
        <v>10</v>
      </c>
      <c r="G194" s="12" t="s">
        <v>120</v>
      </c>
      <c r="H194" s="259">
        <f>H190*H191*H192*H193</f>
        <v>2078.9339999999997</v>
      </c>
      <c r="I194" s="12" t="s">
        <v>10</v>
      </c>
      <c r="J194" s="287"/>
    </row>
    <row r="195" spans="3:10" ht="20.100000000000001" customHeight="1">
      <c r="C195" s="331"/>
      <c r="D195" s="10" t="s">
        <v>478</v>
      </c>
      <c r="E195" s="320"/>
      <c r="F195" s="12"/>
      <c r="G195" s="10" t="s">
        <v>478</v>
      </c>
      <c r="H195" s="320"/>
      <c r="I195" s="12"/>
      <c r="J195" s="287"/>
    </row>
    <row r="196" spans="3:10" ht="20.100000000000001" customHeight="1">
      <c r="C196" s="331"/>
      <c r="D196" s="12"/>
      <c r="E196" s="320"/>
      <c r="F196" s="12"/>
      <c r="G196" s="12"/>
      <c r="H196" s="12"/>
      <c r="I196" s="12"/>
      <c r="J196" s="269"/>
    </row>
    <row r="197" spans="3:10" ht="35.1" customHeight="1">
      <c r="C197" s="274" t="s">
        <v>84</v>
      </c>
      <c r="D197" s="617" t="str">
        <f>VLOOKUP($C197,Orçamento!B:I,3,0)</f>
        <v>TRANSPORTE DE MATERIAL DE QUALQUER NATUREZA EM CAMINHÃO DMT &gt; 5 KM (DENTRO DO PERÍMETRO URBANO) - BOTA FORA</v>
      </c>
      <c r="E197" s="618"/>
      <c r="F197" s="618"/>
      <c r="G197" s="618"/>
      <c r="H197" s="619"/>
      <c r="I197" s="547" t="str">
        <f>VLOOKUP($C197,Orçamento!B:I,4,0)</f>
        <v>M3XKM</v>
      </c>
      <c r="J197" s="273">
        <f>E202</f>
        <v>25574.2968</v>
      </c>
    </row>
    <row r="198" spans="3:10" ht="20.100000000000001" customHeight="1">
      <c r="C198" s="331"/>
      <c r="D198" s="12"/>
      <c r="E198" s="320"/>
      <c r="F198" s="12"/>
      <c r="G198" s="12"/>
      <c r="H198" s="12"/>
      <c r="I198" s="332"/>
      <c r="J198" s="262"/>
    </row>
    <row r="199" spans="3:10" ht="20.100000000000001" customHeight="1">
      <c r="C199" s="331"/>
      <c r="D199" s="12" t="s">
        <v>345</v>
      </c>
      <c r="E199" s="320"/>
      <c r="F199" s="12"/>
      <c r="G199" s="12"/>
      <c r="H199" s="320"/>
      <c r="I199" s="12"/>
      <c r="J199" s="262"/>
    </row>
    <row r="200" spans="3:10" ht="20.100000000000001" customHeight="1">
      <c r="C200" s="331"/>
      <c r="D200" s="12" t="s">
        <v>120</v>
      </c>
      <c r="E200" s="320">
        <f>J187</f>
        <v>4918.134</v>
      </c>
      <c r="F200" s="12" t="s">
        <v>10</v>
      </c>
      <c r="G200" s="12"/>
      <c r="H200" s="320"/>
      <c r="I200" s="12"/>
      <c r="J200" s="269"/>
    </row>
    <row r="201" spans="3:10" ht="20.100000000000001" customHeight="1">
      <c r="C201" s="331"/>
      <c r="D201" s="12" t="s">
        <v>11</v>
      </c>
      <c r="E201" s="320">
        <v>5.2</v>
      </c>
      <c r="F201" s="12" t="s">
        <v>26</v>
      </c>
      <c r="G201" s="12"/>
      <c r="H201" s="320"/>
      <c r="I201" s="12"/>
      <c r="J201" s="287"/>
    </row>
    <row r="202" spans="3:10" ht="20.100000000000001" customHeight="1">
      <c r="C202" s="331"/>
      <c r="D202" s="279" t="s">
        <v>336</v>
      </c>
      <c r="E202" s="259">
        <f>E200*E201</f>
        <v>25574.2968</v>
      </c>
      <c r="F202" s="12" t="s">
        <v>28</v>
      </c>
      <c r="G202" s="279"/>
      <c r="H202" s="320"/>
      <c r="I202" s="12"/>
      <c r="J202" s="287"/>
    </row>
    <row r="203" spans="3:10" ht="20.100000000000001" customHeight="1">
      <c r="C203" s="331"/>
      <c r="D203" s="279" t="s">
        <v>384</v>
      </c>
      <c r="E203" s="320"/>
      <c r="F203" s="12"/>
      <c r="G203" s="279"/>
      <c r="H203" s="320"/>
      <c r="I203" s="12"/>
      <c r="J203" s="287"/>
    </row>
    <row r="204" spans="3:10" ht="20.100000000000001" customHeight="1">
      <c r="C204" s="331"/>
      <c r="D204" s="12"/>
      <c r="E204" s="320"/>
      <c r="F204" s="12"/>
      <c r="G204" s="12"/>
      <c r="H204" s="12"/>
      <c r="I204" s="12"/>
      <c r="J204" s="269"/>
    </row>
    <row r="205" spans="3:10" ht="24.95" customHeight="1">
      <c r="C205" s="274" t="s">
        <v>85</v>
      </c>
      <c r="D205" s="620" t="str">
        <f>VLOOKUP($C205,Orçamento!B:I,3,0)</f>
        <v>REGULARIZAÇÃO E COMPACTAÇÃO DE TERRENO COM PLACA VIBRATÓRIA</v>
      </c>
      <c r="E205" s="620"/>
      <c r="F205" s="620"/>
      <c r="G205" s="620"/>
      <c r="H205" s="620"/>
      <c r="I205" s="547" t="str">
        <f>VLOOKUP($C205,Orçamento!B:I,4,0)</f>
        <v>M2</v>
      </c>
      <c r="J205" s="273">
        <f>Pavimentação!V19</f>
        <v>20628.980000000003</v>
      </c>
    </row>
    <row r="206" spans="3:10" ht="24.95" customHeight="1">
      <c r="C206" s="274" t="s">
        <v>97</v>
      </c>
      <c r="D206" s="620" t="str">
        <f>VLOOKUP($C206,Orçamento!B:I,3,0)</f>
        <v>ENROCAMENTO COM PEDRA DE MÃO JOGADA, INCLUSIVE FORNECIMENTO</v>
      </c>
      <c r="E206" s="620"/>
      <c r="F206" s="620"/>
      <c r="G206" s="620"/>
      <c r="H206" s="620"/>
      <c r="I206" s="547" t="str">
        <f>VLOOKUP($C206,Orçamento!B:I,4,0)</f>
        <v>M3</v>
      </c>
      <c r="J206" s="273">
        <f>E212+H212</f>
        <v>3783.18</v>
      </c>
    </row>
    <row r="207" spans="3:10" ht="20.100000000000001" customHeight="1">
      <c r="C207" s="338"/>
      <c r="D207" s="12"/>
      <c r="E207" s="320"/>
      <c r="F207" s="12"/>
      <c r="G207" s="12"/>
      <c r="H207" s="12"/>
      <c r="I207" s="339"/>
      <c r="J207" s="262"/>
    </row>
    <row r="208" spans="3:10" ht="20.100000000000001" customHeight="1">
      <c r="C208" s="338"/>
      <c r="D208" s="12" t="s">
        <v>387</v>
      </c>
      <c r="E208" s="320"/>
      <c r="F208" s="12"/>
      <c r="G208" s="12" t="s">
        <v>399</v>
      </c>
      <c r="H208" s="320"/>
      <c r="I208" s="12"/>
      <c r="J208" s="262"/>
    </row>
    <row r="209" spans="3:10" ht="20.100000000000001" customHeight="1">
      <c r="C209" s="338"/>
      <c r="D209" s="12" t="s">
        <v>407</v>
      </c>
      <c r="E209" s="320">
        <f>Pavimentação!I12</f>
        <v>14</v>
      </c>
      <c r="F209" s="12" t="s">
        <v>4</v>
      </c>
      <c r="G209" s="12" t="s">
        <v>407</v>
      </c>
      <c r="H209" s="320">
        <f>Pavimentação!I14</f>
        <v>10</v>
      </c>
      <c r="I209" s="12" t="s">
        <v>4</v>
      </c>
      <c r="J209" s="269"/>
    </row>
    <row r="210" spans="3:10" ht="20.100000000000001" customHeight="1">
      <c r="C210" s="338"/>
      <c r="D210" s="12" t="s">
        <v>408</v>
      </c>
      <c r="E210" s="320">
        <f>Pavimentação!E12+Pavimentação!E13</f>
        <v>260</v>
      </c>
      <c r="F210" s="12" t="s">
        <v>4</v>
      </c>
      <c r="G210" s="12" t="s">
        <v>408</v>
      </c>
      <c r="H210" s="320">
        <f>Pavimentação!E14</f>
        <v>266.52999999999997</v>
      </c>
      <c r="I210" s="12" t="s">
        <v>4</v>
      </c>
      <c r="J210" s="269"/>
    </row>
    <row r="211" spans="3:10" ht="20.100000000000001" customHeight="1">
      <c r="C211" s="338"/>
      <c r="D211" s="12" t="s">
        <v>409</v>
      </c>
      <c r="E211" s="320">
        <v>0.6</v>
      </c>
      <c r="F211" s="12" t="s">
        <v>4</v>
      </c>
      <c r="G211" s="12" t="s">
        <v>409</v>
      </c>
      <c r="H211" s="320">
        <v>0.6</v>
      </c>
      <c r="I211" s="12" t="s">
        <v>4</v>
      </c>
      <c r="J211" s="269"/>
    </row>
    <row r="212" spans="3:10" ht="20.100000000000001" customHeight="1">
      <c r="C212" s="338"/>
      <c r="D212" s="12" t="s">
        <v>120</v>
      </c>
      <c r="E212" s="259">
        <f>E209*E210*E211</f>
        <v>2184</v>
      </c>
      <c r="F212" s="12" t="s">
        <v>10</v>
      </c>
      <c r="G212" s="12" t="s">
        <v>120</v>
      </c>
      <c r="H212" s="259">
        <f>H209*H210*H211</f>
        <v>1599.1799999999998</v>
      </c>
      <c r="I212" s="12" t="s">
        <v>10</v>
      </c>
      <c r="J212" s="287"/>
    </row>
    <row r="213" spans="3:10" ht="20.100000000000001" customHeight="1">
      <c r="C213" s="347"/>
      <c r="D213" s="10" t="s">
        <v>438</v>
      </c>
      <c r="E213" s="320"/>
      <c r="F213" s="12"/>
      <c r="G213" s="10" t="s">
        <v>438</v>
      </c>
      <c r="H213" s="320"/>
      <c r="I213" s="12"/>
      <c r="J213" s="287"/>
    </row>
    <row r="214" spans="3:10" ht="20.100000000000001" customHeight="1">
      <c r="C214" s="349"/>
      <c r="D214" s="345"/>
      <c r="E214" s="204"/>
      <c r="F214" s="345"/>
      <c r="G214" s="345"/>
      <c r="H214" s="345"/>
      <c r="I214" s="345"/>
      <c r="J214" s="346"/>
    </row>
    <row r="215" spans="3:10" ht="35.1" customHeight="1">
      <c r="C215" s="274" t="s">
        <v>114</v>
      </c>
      <c r="D215" s="617" t="str">
        <f>VLOOKUP($C215,Orçamento!B:I,3,0)</f>
        <v>TRANSPORTE DE MATERIAL DE QUALQUER NATUREZA EM CAMINHÃO DMT &gt; 5 KM (DENTRO DO PERÍMETRO URBANO) - PEDRA</v>
      </c>
      <c r="E215" s="618"/>
      <c r="F215" s="618"/>
      <c r="G215" s="618"/>
      <c r="H215" s="619"/>
      <c r="I215" s="547" t="str">
        <f>VLOOKUP($C215,Orçamento!B:I,4,0)</f>
        <v>M3XKM</v>
      </c>
      <c r="J215" s="273">
        <f>E220</f>
        <v>33291.984000000004</v>
      </c>
    </row>
    <row r="216" spans="3:10" ht="20.100000000000001" customHeight="1">
      <c r="C216" s="310"/>
      <c r="D216" s="308"/>
      <c r="E216" s="308"/>
      <c r="F216" s="308"/>
      <c r="G216" s="308"/>
      <c r="H216" s="308"/>
      <c r="I216" s="312"/>
      <c r="J216" s="261"/>
    </row>
    <row r="217" spans="3:10" ht="20.100000000000001" customHeight="1">
      <c r="C217" s="313"/>
      <c r="D217" s="10" t="s">
        <v>439</v>
      </c>
      <c r="E217" s="12"/>
      <c r="F217" s="12"/>
      <c r="G217" s="12"/>
      <c r="H217" s="12"/>
      <c r="I217" s="314"/>
      <c r="J217" s="262"/>
    </row>
    <row r="218" spans="3:10" ht="20.100000000000001" customHeight="1">
      <c r="C218" s="313"/>
      <c r="D218" s="12" t="s">
        <v>388</v>
      </c>
      <c r="E218" s="320">
        <f>J206</f>
        <v>3783.18</v>
      </c>
      <c r="F218" s="12" t="s">
        <v>10</v>
      </c>
      <c r="G218" s="12"/>
      <c r="H218" s="12"/>
      <c r="I218" s="314"/>
      <c r="J218" s="262"/>
    </row>
    <row r="219" spans="3:10" ht="20.100000000000001" customHeight="1">
      <c r="C219" s="313"/>
      <c r="D219" s="12" t="s">
        <v>11</v>
      </c>
      <c r="E219" s="265">
        <v>8.8000000000000007</v>
      </c>
      <c r="F219" s="12"/>
      <c r="G219" s="12"/>
      <c r="H219" s="12"/>
      <c r="I219" s="314"/>
      <c r="J219" s="262"/>
    </row>
    <row r="220" spans="3:10" ht="20.100000000000001" customHeight="1">
      <c r="C220" s="313"/>
      <c r="D220" s="264" t="s">
        <v>637</v>
      </c>
      <c r="E220" s="259">
        <f>E218*E219</f>
        <v>33291.984000000004</v>
      </c>
      <c r="F220" s="12"/>
      <c r="G220" s="12"/>
      <c r="H220" s="12"/>
      <c r="I220" s="314"/>
      <c r="J220" s="262"/>
    </row>
    <row r="221" spans="3:10" ht="20.100000000000001" customHeight="1">
      <c r="C221" s="347"/>
      <c r="D221" s="279" t="s">
        <v>479</v>
      </c>
      <c r="E221" s="320"/>
      <c r="F221" s="12"/>
      <c r="G221" s="12"/>
      <c r="H221" s="12"/>
      <c r="I221" s="348"/>
      <c r="J221" s="262"/>
    </row>
    <row r="222" spans="3:10" ht="20.100000000000001" customHeight="1">
      <c r="C222" s="349"/>
      <c r="D222" s="370"/>
      <c r="E222" s="370"/>
      <c r="F222" s="370"/>
      <c r="G222" s="370"/>
      <c r="H222" s="370"/>
      <c r="I222" s="350"/>
      <c r="J222" s="266"/>
    </row>
    <row r="223" spans="3:10" ht="66.75" customHeight="1">
      <c r="C223" s="311" t="s">
        <v>123</v>
      </c>
      <c r="D223" s="620" t="str">
        <f>VLOOKUP($C223,Orçamento!B:I,3,0)</f>
        <v>SUB-BASE DE SOLO-BICA CORRIDA A 33% DE BICA CORRIDA COM MISTURA NA PISTA, COMPACTADO NA ENERGIA DO PROCTOR INTERMEDIÁRIO (EXECUÇÃO, INCLUINDO FORNECIMENTO DA BICA CORRIDA, ESCAVAÇÃO E CARGA DO MATERIAL DE JAZIDA, UMIDECIMENTO, HOMOGENIZAÇÃO E COMPACTAÇÃO DA MISTURA)</v>
      </c>
      <c r="E223" s="620"/>
      <c r="F223" s="620"/>
      <c r="G223" s="620"/>
      <c r="H223" s="620"/>
      <c r="I223" s="547" t="str">
        <f>VLOOKUP($C223,Orçamento!B:I,4,0)</f>
        <v>M3</v>
      </c>
      <c r="J223" s="273">
        <f>Pavimentação!X19</f>
        <v>3914.0065500000005</v>
      </c>
    </row>
    <row r="224" spans="3:10" ht="24.95" customHeight="1">
      <c r="C224" s="344" t="s">
        <v>124</v>
      </c>
      <c r="D224" s="620" t="str">
        <f>VLOOKUP($C224,Orçamento!B:I,3,0)</f>
        <v>BASE PARA PAVIMENTACAO COM BRITA CORRIDA, INCLUSIVE COMPACTACAO</v>
      </c>
      <c r="E224" s="620"/>
      <c r="F224" s="620"/>
      <c r="G224" s="620"/>
      <c r="H224" s="620"/>
      <c r="I224" s="547" t="str">
        <f>VLOOKUP($C224,Orçamento!B:I,4,0)</f>
        <v>M3</v>
      </c>
      <c r="J224" s="273">
        <f>Pavimentação!Y19</f>
        <v>4125.7960000000012</v>
      </c>
    </row>
    <row r="225" spans="3:10" ht="35.1" customHeight="1">
      <c r="C225" s="274" t="s">
        <v>125</v>
      </c>
      <c r="D225" s="617" t="str">
        <f>VLOOKUP($C225,Orçamento!B:I,3,0)</f>
        <v>TRANSPORTE DE MATERIAL DE QUALQUER NATUREZA EM CAMINHÃO DMT &gt; 5 KM (DENTRO DO PERÍMETRO URBANO) - BASE E SUB-BASE</v>
      </c>
      <c r="E225" s="618"/>
      <c r="F225" s="618"/>
      <c r="G225" s="618"/>
      <c r="H225" s="619"/>
      <c r="I225" s="547" t="str">
        <f>VLOOKUP($C225,Orçamento!B:I,4,0)</f>
        <v>M3XKM</v>
      </c>
      <c r="J225" s="273">
        <f>E229</f>
        <v>70750.26244000002</v>
      </c>
    </row>
    <row r="226" spans="3:10" ht="20.100000000000001" customHeight="1">
      <c r="C226" s="206"/>
      <c r="D226" s="12"/>
      <c r="E226" s="13"/>
      <c r="F226" s="12"/>
      <c r="G226" s="12"/>
      <c r="H226" s="12"/>
      <c r="I226" s="12"/>
      <c r="J226" s="269"/>
    </row>
    <row r="227" spans="3:10" ht="20.100000000000001" customHeight="1">
      <c r="C227" s="206"/>
      <c r="D227" s="279" t="s">
        <v>638</v>
      </c>
      <c r="E227" s="13">
        <f>Pavimentação!Y19+Pavimentação!X19</f>
        <v>8039.8025500000022</v>
      </c>
      <c r="F227" s="12" t="s">
        <v>10</v>
      </c>
      <c r="G227" s="12"/>
      <c r="H227" s="12"/>
      <c r="I227" s="207"/>
      <c r="J227" s="287"/>
    </row>
    <row r="228" spans="3:10" ht="20.100000000000001" customHeight="1">
      <c r="C228" s="206"/>
      <c r="D228" s="12" t="s">
        <v>11</v>
      </c>
      <c r="E228" s="13">
        <v>8.8000000000000007</v>
      </c>
      <c r="F228" s="12" t="s">
        <v>26</v>
      </c>
      <c r="G228" s="12"/>
      <c r="H228" s="12"/>
      <c r="I228" s="207"/>
      <c r="J228" s="287"/>
    </row>
    <row r="229" spans="3:10" ht="20.100000000000001" customHeight="1">
      <c r="C229" s="206"/>
      <c r="D229" s="12" t="s">
        <v>336</v>
      </c>
      <c r="E229" s="203">
        <f>E227*E228</f>
        <v>70750.26244000002</v>
      </c>
      <c r="F229" s="12" t="s">
        <v>28</v>
      </c>
      <c r="G229" s="12"/>
      <c r="H229" s="12"/>
      <c r="I229" s="207"/>
      <c r="J229" s="287"/>
    </row>
    <row r="230" spans="3:10" ht="20.100000000000001" customHeight="1">
      <c r="C230" s="347"/>
      <c r="D230" s="10" t="s">
        <v>480</v>
      </c>
      <c r="E230" s="320"/>
      <c r="F230" s="12"/>
      <c r="G230" s="12"/>
      <c r="H230" s="12"/>
      <c r="I230" s="348"/>
      <c r="J230" s="287"/>
    </row>
    <row r="231" spans="3:10" ht="20.100000000000001" customHeight="1">
      <c r="C231" s="634"/>
      <c r="D231" s="635"/>
      <c r="E231" s="635"/>
      <c r="F231" s="635"/>
      <c r="G231" s="635"/>
      <c r="H231" s="635"/>
      <c r="I231" s="635"/>
      <c r="J231" s="636"/>
    </row>
    <row r="232" spans="3:10" ht="48.75" customHeight="1">
      <c r="C232" s="311" t="s">
        <v>127</v>
      </c>
      <c r="D232" s="620" t="str">
        <f>VLOOKUP($C232,Orçamento!B:I,3,0)</f>
        <v>EXECUÇÃO DE IMPRIMAÇÃO COM MATERIAL BETUMINOSO, INCLUINDO FORNECIMENTO E TRANSPORTE DO MATERIAL BETUMINOSO DENTRO DO CANTEIRO DE OBRAS, EXCLUSIVE TRANSPORTE DO MATERIAL BETUMINOSO ATÉ A USINA</v>
      </c>
      <c r="E232" s="620"/>
      <c r="F232" s="620"/>
      <c r="G232" s="620"/>
      <c r="H232" s="620"/>
      <c r="I232" s="547" t="str">
        <f>VLOOKUP($C232,Orçamento!B:I,4,0)</f>
        <v>M2</v>
      </c>
      <c r="J232" s="273">
        <f>Pavimentação!T19</f>
        <v>20243.900000000001</v>
      </c>
    </row>
    <row r="233" spans="3:10" ht="50.25" customHeight="1">
      <c r="C233" s="344" t="s">
        <v>337</v>
      </c>
      <c r="D233" s="620" t="str">
        <f>VLOOKUP($C233,Orçamento!B:I,3,0)</f>
        <v>EXECUÇÃO DE PINTURA DE LIGAÇÃO COM MATERIAL BETUMINOSO, INCLUINDO FORNECIMENTO E TRANSPORTE DO MATERIAL BETUMINOSO DENTRO DO CANTEIRO DE OBRAS, EXCLUSIVE TRANSPORTE DO MATERIAL BETUMINOSO ATÉ A USINA</v>
      </c>
      <c r="E233" s="620"/>
      <c r="F233" s="620"/>
      <c r="G233" s="620"/>
      <c r="H233" s="620"/>
      <c r="I233" s="547" t="str">
        <f>VLOOKUP($C233,Orçamento!B:I,4,0)</f>
        <v>M2</v>
      </c>
      <c r="J233" s="273">
        <f>Pavimentação!U19</f>
        <v>18960.300000000003</v>
      </c>
    </row>
    <row r="234" spans="3:10" ht="67.5" customHeight="1">
      <c r="C234" s="344" t="s">
        <v>338</v>
      </c>
      <c r="D234" s="617" t="str">
        <f>VLOOKUP($C234,Orçamento!B:I,3,0)</f>
        <v>EXECUÇÃO DE CONCRETO BETUMINOSO USINADO A QUENTE (CBUQ) COM MATERIAL BETUMINOSO, INCLUINDO FORNECIMENTO DOS AGREGADOS E TRANSPORTE DO MATERIAL BETUMINOSO DENTRO DO CANTEIRO DE OBRAS, EXCLUSIVE TRANSPORTE DO MATERIAL BETUMINOSO E AGREGADOS ATÉ A USINA</v>
      </c>
      <c r="E234" s="618"/>
      <c r="F234" s="618"/>
      <c r="G234" s="618"/>
      <c r="H234" s="619"/>
      <c r="I234" s="547" t="str">
        <f>VLOOKUP($C234,Orçamento!B:I,4,0)</f>
        <v>M3</v>
      </c>
      <c r="J234" s="273">
        <f>Pavimentação!AA19</f>
        <v>872.30900000000008</v>
      </c>
    </row>
    <row r="235" spans="3:10" ht="35.1" customHeight="1">
      <c r="C235" s="274" t="s">
        <v>636</v>
      </c>
      <c r="D235" s="617" t="str">
        <f>VLOOKUP($C235,Orçamento!B:I,3,0)</f>
        <v>TRANSPORTE DE MATERIAL ASFALTICO, COM CAMINHÃO COM CAPACIDADE DE 20000 L EM RODOVIA PAVIMENTADA PARA DISTÂNCIAS MÉDIAS DE TRANSPORTE IGUAL OU INFERIOR A 100 KM</v>
      </c>
      <c r="E235" s="618"/>
      <c r="F235" s="618"/>
      <c r="G235" s="618"/>
      <c r="H235" s="619"/>
      <c r="I235" s="547" t="str">
        <f>VLOOKUP($C235,Orçamento!B:I,4,0)</f>
        <v>TXKM</v>
      </c>
      <c r="J235" s="273">
        <f>Pavimentação!AB19</f>
        <v>2262.9037440000002</v>
      </c>
    </row>
    <row r="236" spans="3:10" ht="24.95" customHeight="1">
      <c r="C236" s="407"/>
      <c r="D236" s="627"/>
      <c r="E236" s="628"/>
      <c r="F236" s="628"/>
      <c r="G236" s="628"/>
      <c r="H236" s="629"/>
      <c r="I236" s="407"/>
      <c r="J236" s="273"/>
    </row>
    <row r="237" spans="3:10" ht="24.95" customHeight="1">
      <c r="C237" s="283">
        <v>7</v>
      </c>
      <c r="D237" s="648" t="str">
        <f>VLOOKUP($C237,Orçamento!B:I,3,0)</f>
        <v>OBRAS COMPLEMENTARES</v>
      </c>
      <c r="E237" s="648"/>
      <c r="F237" s="648"/>
      <c r="G237" s="648"/>
      <c r="H237" s="648"/>
      <c r="I237" s="407"/>
      <c r="J237" s="273"/>
    </row>
    <row r="238" spans="3:10" ht="24.95" customHeight="1">
      <c r="C238" s="41" t="s">
        <v>59</v>
      </c>
      <c r="D238" s="641" t="str">
        <f>VLOOKUP($C238,Orçamento!B:I,3,0)</f>
        <v>PASSEIOS DE CONCRETO E = 8 CM, FCK = 15 MPA PADRÃO PREFEITURA</v>
      </c>
      <c r="E238" s="642"/>
      <c r="F238" s="642"/>
      <c r="G238" s="642"/>
      <c r="H238" s="643"/>
      <c r="I238" s="547" t="str">
        <f>VLOOKUP($C238,Orçamento!B:I,4,0)</f>
        <v>M2</v>
      </c>
      <c r="J238" s="272">
        <f>Pavimentação!W19</f>
        <v>5731.6100000000006</v>
      </c>
    </row>
    <row r="239" spans="3:10" ht="35.1" customHeight="1">
      <c r="C239" s="274" t="s">
        <v>60</v>
      </c>
      <c r="D239" s="617" t="str">
        <f>VLOOKUP($C239,Orçamento!B:I,3,0)</f>
        <v>MEIO-FIO DE CONCRETO PRÉ-MOLDADO TIPO B - (12 X 18 X 45) CM, INCLUSIVE ESCAVAÇÃO E REATERRO</v>
      </c>
      <c r="E239" s="618"/>
      <c r="F239" s="618"/>
      <c r="G239" s="618"/>
      <c r="H239" s="619"/>
      <c r="I239" s="547" t="str">
        <f>VLOOKUP($C239,Orçamento!B:I,4,0)</f>
        <v>M</v>
      </c>
      <c r="J239" s="273">
        <f>Pavimentação!G19</f>
        <v>3594.6800000000003</v>
      </c>
    </row>
    <row r="240" spans="3:10" ht="24.95" customHeight="1">
      <c r="C240" s="41" t="s">
        <v>98</v>
      </c>
      <c r="D240" s="627" t="str">
        <f>VLOOKUP($C240,Orçamento!B:I,3,0)</f>
        <v>SARJETA TIPO 2 - 50 X 5 CM, I = 15 %, PADRÃO DEOP-MG</v>
      </c>
      <c r="E240" s="628"/>
      <c r="F240" s="628"/>
      <c r="G240" s="628"/>
      <c r="H240" s="629"/>
      <c r="I240" s="547" t="str">
        <f>VLOOKUP($C240,Orçamento!B:I,4,0)</f>
        <v>M</v>
      </c>
      <c r="J240" s="270">
        <f>Pavimentação!H19</f>
        <v>2330.4</v>
      </c>
    </row>
    <row r="241" spans="3:10" ht="35.1" customHeight="1">
      <c r="C241" s="274" t="s">
        <v>116</v>
      </c>
      <c r="D241" s="617" t="str">
        <f>VLOOKUP($C241,Orçamento!B:I,3,0)</f>
        <v xml:space="preserve">RAMPA PARA ACESSO DE DEFICIENTE, EM CONCRETO SIMPLES FCK = 25
MPA, DESEMPENADA, COM PINTURA INDICATIVA, 02 DEMÃOS </v>
      </c>
      <c r="E241" s="618"/>
      <c r="F241" s="618"/>
      <c r="G241" s="618"/>
      <c r="H241" s="619"/>
      <c r="I241" s="547" t="str">
        <f>VLOOKUP($C241,Orçamento!B:I,4,0)</f>
        <v xml:space="preserve">UN </v>
      </c>
      <c r="J241" s="273">
        <v>10</v>
      </c>
    </row>
    <row r="242" spans="3:10" ht="24.95" customHeight="1">
      <c r="C242" s="41" t="s">
        <v>339</v>
      </c>
      <c r="D242" s="617" t="str">
        <f>VLOOKUP($C242,Orçamento!B:I,3,0)</f>
        <v>PISO DE LADRILHO HIDRÁULICO 20 X 20 CM, DE UMA COR</v>
      </c>
      <c r="E242" s="618"/>
      <c r="F242" s="618"/>
      <c r="G242" s="618"/>
      <c r="H242" s="619"/>
      <c r="I242" s="547" t="str">
        <f>VLOOKUP($C242,Orçamento!B:I,4,0)</f>
        <v>M2</v>
      </c>
      <c r="J242" s="273">
        <f>E246</f>
        <v>9.6</v>
      </c>
    </row>
    <row r="243" spans="3:10" ht="20.100000000000001" customHeight="1">
      <c r="C243" s="206"/>
      <c r="D243" s="12"/>
      <c r="E243" s="13"/>
      <c r="F243" s="12"/>
      <c r="G243" s="12"/>
      <c r="H243" s="12"/>
      <c r="I243" s="12"/>
      <c r="J243" s="269"/>
    </row>
    <row r="244" spans="3:10" ht="20.100000000000001" customHeight="1">
      <c r="C244" s="206"/>
      <c r="D244" s="12" t="s">
        <v>25</v>
      </c>
      <c r="E244" s="13">
        <v>0.96</v>
      </c>
      <c r="F244" s="12" t="s">
        <v>7</v>
      </c>
      <c r="G244" s="12"/>
      <c r="H244" s="12"/>
      <c r="I244" s="207"/>
      <c r="J244" s="287"/>
    </row>
    <row r="245" spans="3:10" ht="20.100000000000001" customHeight="1">
      <c r="C245" s="206"/>
      <c r="D245" s="12" t="s">
        <v>14</v>
      </c>
      <c r="E245" s="320">
        <f>J241</f>
        <v>10</v>
      </c>
      <c r="F245" s="12" t="s">
        <v>29</v>
      </c>
      <c r="G245" s="12"/>
      <c r="H245" s="12"/>
      <c r="I245" s="207"/>
      <c r="J245" s="287"/>
    </row>
    <row r="246" spans="3:10" ht="20.100000000000001" customHeight="1">
      <c r="C246" s="206"/>
      <c r="D246" s="12" t="s">
        <v>211</v>
      </c>
      <c r="E246" s="203">
        <f>E244*E245</f>
        <v>9.6</v>
      </c>
      <c r="F246" s="12" t="s">
        <v>7</v>
      </c>
      <c r="G246" s="12"/>
      <c r="H246" s="12"/>
      <c r="I246" s="207"/>
      <c r="J246" s="287"/>
    </row>
    <row r="247" spans="3:10" ht="20.100000000000001" customHeight="1">
      <c r="C247" s="313"/>
      <c r="D247" s="10" t="s">
        <v>391</v>
      </c>
      <c r="E247" s="320"/>
      <c r="F247" s="12"/>
      <c r="G247" s="12"/>
      <c r="H247" s="12"/>
      <c r="I247" s="314"/>
      <c r="J247" s="287"/>
    </row>
    <row r="248" spans="3:10" ht="20.100000000000001" customHeight="1">
      <c r="C248" s="206"/>
      <c r="D248" s="12"/>
      <c r="E248" s="13"/>
      <c r="F248" s="12"/>
      <c r="G248" s="12"/>
      <c r="H248" s="12"/>
      <c r="I248" s="12"/>
      <c r="J248" s="269"/>
    </row>
    <row r="249" spans="3:10" ht="24.95" customHeight="1">
      <c r="C249" s="11" t="s">
        <v>340</v>
      </c>
      <c r="D249" s="627" t="str">
        <f>VLOOKUP($C249,Orçamento!B:I,3,0)</f>
        <v>REGULARIZAÇÃO E COMPACTAÇÃO DE TERRENO COM PLACA VIBRATÓRIA</v>
      </c>
      <c r="E249" s="628"/>
      <c r="F249" s="628"/>
      <c r="G249" s="628"/>
      <c r="H249" s="629"/>
      <c r="I249" s="547" t="str">
        <f>VLOOKUP($C249,Orçamento!B:I,4,0)</f>
        <v>M2</v>
      </c>
      <c r="J249" s="270">
        <f>Pavimentação!W19</f>
        <v>5731.6100000000006</v>
      </c>
    </row>
    <row r="250" spans="3:10" ht="35.1" customHeight="1">
      <c r="C250" s="274" t="s">
        <v>341</v>
      </c>
      <c r="D250" s="617" t="str">
        <f>VLOOKUP($C250,Orçamento!B:I,3,0)</f>
        <v>PROTEÇÃO SUPERFICIAL DE CANAL EM GABIÃO TIPO COLCHÃO, ALTURA DE 17 CENTÍMETROS, ENCHIMENTO COM PEDRA DE MÃO TIPO RACHÃO - FORNECIMENTO E EXECUÇÃO.</v>
      </c>
      <c r="E250" s="618"/>
      <c r="F250" s="618"/>
      <c r="G250" s="618"/>
      <c r="H250" s="619"/>
      <c r="I250" s="547" t="str">
        <f>VLOOKUP($C250,Orçamento!B:I,4,0)</f>
        <v>M2</v>
      </c>
      <c r="J250" s="273">
        <f>E255</f>
        <v>1605.9164999999998</v>
      </c>
    </row>
    <row r="251" spans="3:10" ht="20.100000000000001" customHeight="1">
      <c r="C251" s="334"/>
      <c r="D251" s="335"/>
      <c r="E251" s="335"/>
      <c r="F251" s="335"/>
      <c r="G251" s="335"/>
      <c r="H251" s="335"/>
      <c r="I251" s="337"/>
      <c r="J251" s="261"/>
    </row>
    <row r="252" spans="3:10" ht="20.100000000000001" customHeight="1">
      <c r="C252" s="338"/>
      <c r="D252" s="10" t="s">
        <v>441</v>
      </c>
      <c r="E252" s="12"/>
      <c r="F252" s="12"/>
      <c r="G252" s="12"/>
      <c r="H252" s="12"/>
      <c r="I252" s="339"/>
      <c r="J252" s="262"/>
    </row>
    <row r="253" spans="3:10" ht="20.100000000000001" customHeight="1">
      <c r="C253" s="338"/>
      <c r="D253" s="12" t="s">
        <v>420</v>
      </c>
      <c r="E253" s="320">
        <f>Pavimentação!E12+Pavimentação!E13+Pavimentação!E14</f>
        <v>526.53</v>
      </c>
      <c r="F253" s="12" t="s">
        <v>4</v>
      </c>
      <c r="G253" s="12"/>
      <c r="H253" s="12"/>
      <c r="I253" s="339"/>
      <c r="J253" s="262"/>
    </row>
    <row r="254" spans="3:10" ht="20.100000000000001" customHeight="1">
      <c r="C254" s="338"/>
      <c r="D254" s="10" t="s">
        <v>422</v>
      </c>
      <c r="E254" s="320">
        <v>3.05</v>
      </c>
      <c r="F254" s="12" t="s">
        <v>4</v>
      </c>
      <c r="G254" s="12"/>
      <c r="H254" s="12"/>
      <c r="I254" s="339"/>
      <c r="J254" s="262"/>
    </row>
    <row r="255" spans="3:10" ht="20.100000000000001" customHeight="1">
      <c r="C255" s="338"/>
      <c r="D255" s="12" t="s">
        <v>25</v>
      </c>
      <c r="E255" s="259">
        <f>E253*E254</f>
        <v>1605.9164999999998</v>
      </c>
      <c r="F255" s="12" t="s">
        <v>7</v>
      </c>
      <c r="G255" s="12"/>
      <c r="H255" s="12"/>
      <c r="I255" s="339"/>
      <c r="J255" s="262"/>
    </row>
    <row r="256" spans="3:10" ht="20.100000000000001" customHeight="1">
      <c r="C256" s="338"/>
      <c r="D256" s="10" t="s">
        <v>421</v>
      </c>
      <c r="E256" s="320"/>
      <c r="F256" s="12"/>
      <c r="G256" s="12"/>
      <c r="H256" s="12"/>
      <c r="I256" s="339"/>
      <c r="J256" s="262"/>
    </row>
    <row r="257" spans="3:22" ht="20.100000000000001" customHeight="1">
      <c r="C257" s="340"/>
      <c r="D257" s="333"/>
      <c r="E257" s="333"/>
      <c r="F257" s="333"/>
      <c r="G257" s="333"/>
      <c r="H257" s="333"/>
      <c r="I257" s="341"/>
      <c r="J257" s="266"/>
    </row>
    <row r="258" spans="3:22" ht="24.95" customHeight="1">
      <c r="C258" s="283">
        <v>8</v>
      </c>
      <c r="D258" s="622" t="str">
        <f>VLOOKUP($C258,Orçamento!B:I,3,0)</f>
        <v>URBANIZAÇÃO E PAISAGISMO</v>
      </c>
      <c r="E258" s="623"/>
      <c r="F258" s="623"/>
      <c r="G258" s="623"/>
      <c r="H258" s="623"/>
      <c r="I258" s="284"/>
      <c r="J258" s="285"/>
    </row>
    <row r="259" spans="3:22" ht="35.1" customHeight="1">
      <c r="C259" s="274" t="s">
        <v>89</v>
      </c>
      <c r="D259" s="617" t="str">
        <f>VLOOKUP($C259,Orçamento!B:I,3,0)</f>
        <v>PLANTIO DE GRAMA ESMERALDA EM PLACAS, INCLUSIVE TERRA VEGETAL E
CONSERVAÇÃO POR 30 DIAS</v>
      </c>
      <c r="E259" s="618"/>
      <c r="F259" s="618"/>
      <c r="G259" s="618"/>
      <c r="H259" s="619"/>
      <c r="I259" s="547" t="str">
        <f>VLOOKUP($C259,Orçamento!B:I,4,0)</f>
        <v>M2</v>
      </c>
      <c r="J259" s="273">
        <f>E263+H264+E270+H270</f>
        <v>15881.220000000001</v>
      </c>
    </row>
    <row r="260" spans="3:22" ht="20.100000000000001" customHeight="1">
      <c r="C260" s="96"/>
      <c r="D260" s="106"/>
      <c r="E260" s="106"/>
      <c r="F260" s="106"/>
      <c r="G260" s="106"/>
      <c r="H260" s="106"/>
      <c r="I260" s="205"/>
      <c r="J260" s="290"/>
      <c r="N260" s="9"/>
      <c r="P260" s="10"/>
      <c r="Q260" s="10"/>
      <c r="R260" s="10"/>
      <c r="S260" s="10"/>
      <c r="T260" s="10"/>
      <c r="U260" s="10"/>
      <c r="V260" s="10"/>
    </row>
    <row r="261" spans="3:22" ht="20.100000000000001" customHeight="1">
      <c r="C261" s="206"/>
      <c r="D261" s="10" t="s">
        <v>400</v>
      </c>
      <c r="E261" s="13"/>
      <c r="F261" s="12"/>
      <c r="G261" s="10" t="s">
        <v>213</v>
      </c>
      <c r="J261" s="287"/>
      <c r="N261" s="9"/>
      <c r="P261" s="10"/>
      <c r="Q261" s="10"/>
      <c r="R261" s="10"/>
      <c r="S261" s="10"/>
      <c r="T261" s="10"/>
      <c r="U261" s="10"/>
      <c r="V261" s="10"/>
    </row>
    <row r="262" spans="3:22" ht="20.100000000000001" customHeight="1">
      <c r="C262" s="206"/>
      <c r="D262" s="10" t="s">
        <v>422</v>
      </c>
      <c r="E262" s="265">
        <v>3.05</v>
      </c>
      <c r="F262" s="329" t="s">
        <v>4</v>
      </c>
      <c r="G262" s="12" t="s">
        <v>422</v>
      </c>
      <c r="H262" s="13">
        <f>18.75*2</f>
        <v>37.5</v>
      </c>
      <c r="I262" s="12" t="s">
        <v>4</v>
      </c>
      <c r="J262" s="287"/>
      <c r="N262" s="9"/>
      <c r="P262" s="10"/>
      <c r="Q262" s="10"/>
      <c r="R262" s="10"/>
      <c r="S262" s="10"/>
      <c r="T262" s="10"/>
      <c r="U262" s="10"/>
      <c r="V262" s="10"/>
    </row>
    <row r="263" spans="3:22" ht="20.100000000000001" customHeight="1">
      <c r="C263" s="206"/>
      <c r="D263" s="279" t="s">
        <v>212</v>
      </c>
      <c r="E263" s="320">
        <f>Pavimentação!E14+Pavimentação!E13</f>
        <v>346.53</v>
      </c>
      <c r="F263" s="329" t="s">
        <v>4</v>
      </c>
      <c r="G263" s="279" t="s">
        <v>212</v>
      </c>
      <c r="H263" s="13">
        <f>Pavimentação!E12</f>
        <v>180</v>
      </c>
      <c r="I263" s="12" t="s">
        <v>4</v>
      </c>
      <c r="J263" s="287"/>
      <c r="N263" s="9"/>
      <c r="R263" s="10"/>
      <c r="S263" s="10"/>
      <c r="T263" s="10"/>
      <c r="U263" s="10"/>
      <c r="V263" s="10"/>
    </row>
    <row r="264" spans="3:22" ht="20.100000000000001" customHeight="1">
      <c r="C264" s="206"/>
      <c r="D264" s="12" t="s">
        <v>393</v>
      </c>
      <c r="E264" s="263">
        <f>E262*E263</f>
        <v>1056.9164999999998</v>
      </c>
      <c r="F264" s="12" t="s">
        <v>7</v>
      </c>
      <c r="G264" s="12" t="s">
        <v>393</v>
      </c>
      <c r="H264" s="203">
        <f>H262*H263</f>
        <v>6750</v>
      </c>
      <c r="I264" s="12" t="s">
        <v>7</v>
      </c>
      <c r="J264" s="287"/>
      <c r="N264" s="9"/>
      <c r="R264" s="10"/>
      <c r="S264" s="10"/>
      <c r="T264" s="10"/>
      <c r="U264" s="10"/>
      <c r="V264" s="10"/>
    </row>
    <row r="265" spans="3:22" ht="20.100000000000001" customHeight="1">
      <c r="C265" s="347"/>
      <c r="D265" s="10" t="s">
        <v>481</v>
      </c>
      <c r="E265" s="265"/>
      <c r="F265" s="12"/>
      <c r="G265" s="10" t="s">
        <v>481</v>
      </c>
      <c r="H265" s="320"/>
      <c r="I265" s="12"/>
      <c r="J265" s="287"/>
      <c r="N265" s="9"/>
      <c r="R265" s="10"/>
      <c r="S265" s="10"/>
      <c r="T265" s="10"/>
      <c r="U265" s="10"/>
      <c r="V265" s="10"/>
    </row>
    <row r="266" spans="3:22" ht="20.100000000000001" customHeight="1">
      <c r="C266" s="206"/>
      <c r="J266" s="287"/>
      <c r="N266" s="9"/>
      <c r="R266" s="10"/>
      <c r="S266" s="10"/>
      <c r="T266" s="10"/>
      <c r="U266" s="10"/>
      <c r="V266" s="10"/>
    </row>
    <row r="267" spans="3:22" ht="20.100000000000001" customHeight="1">
      <c r="C267" s="206"/>
      <c r="D267" s="10" t="s">
        <v>440</v>
      </c>
      <c r="E267" s="320"/>
      <c r="F267" s="12"/>
      <c r="G267" s="12" t="s">
        <v>306</v>
      </c>
      <c r="H267" s="13"/>
      <c r="I267" s="12"/>
      <c r="J267" s="287"/>
      <c r="N267" s="9"/>
      <c r="R267" s="10"/>
      <c r="S267" s="10"/>
      <c r="T267" s="10"/>
      <c r="U267" s="10"/>
      <c r="V267" s="10"/>
    </row>
    <row r="268" spans="3:22" ht="20.100000000000001" customHeight="1">
      <c r="C268" s="206"/>
      <c r="D268" s="10" t="s">
        <v>422</v>
      </c>
      <c r="E268" s="265">
        <v>3.05</v>
      </c>
      <c r="F268" s="336" t="s">
        <v>4</v>
      </c>
      <c r="G268" s="12" t="s">
        <v>483</v>
      </c>
      <c r="H268" s="13">
        <f>3918+844+2374</f>
        <v>7136</v>
      </c>
      <c r="I268" s="12" t="s">
        <v>7</v>
      </c>
      <c r="J268" s="287"/>
      <c r="N268" s="9"/>
      <c r="R268" s="10"/>
      <c r="S268" s="10"/>
      <c r="T268" s="10"/>
      <c r="U268" s="10"/>
      <c r="V268" s="10"/>
    </row>
    <row r="269" spans="3:22" ht="20.100000000000001" customHeight="1">
      <c r="C269" s="206"/>
      <c r="D269" s="279" t="s">
        <v>212</v>
      </c>
      <c r="E269" s="320">
        <f>H263</f>
        <v>180</v>
      </c>
      <c r="F269" s="336" t="s">
        <v>4</v>
      </c>
      <c r="G269" s="12" t="s">
        <v>484</v>
      </c>
      <c r="H269" s="13">
        <v>1099.69</v>
      </c>
      <c r="I269" s="12" t="s">
        <v>7</v>
      </c>
      <c r="J269" s="287"/>
      <c r="N269" s="9"/>
      <c r="P269" s="10"/>
      <c r="Q269" s="10"/>
      <c r="R269" s="10"/>
      <c r="S269" s="10"/>
      <c r="T269" s="10"/>
      <c r="U269" s="10"/>
      <c r="V269" s="10"/>
    </row>
    <row r="270" spans="3:22" ht="20.100000000000001" customHeight="1">
      <c r="C270" s="206"/>
      <c r="D270" s="12" t="s">
        <v>393</v>
      </c>
      <c r="E270" s="263">
        <f>E268*E269</f>
        <v>549</v>
      </c>
      <c r="F270" s="12" t="s">
        <v>7</v>
      </c>
      <c r="G270" s="12" t="s">
        <v>392</v>
      </c>
      <c r="H270" s="203">
        <f>SUM(H268:H269)</f>
        <v>8235.69</v>
      </c>
      <c r="I270" s="12" t="s">
        <v>7</v>
      </c>
      <c r="J270" s="287"/>
      <c r="N270" s="9"/>
      <c r="P270" s="10"/>
      <c r="Q270" s="10"/>
      <c r="R270" s="10"/>
      <c r="S270" s="10"/>
      <c r="T270" s="10"/>
      <c r="U270" s="10"/>
      <c r="V270" s="10"/>
    </row>
    <row r="271" spans="3:22" ht="20.100000000000001" customHeight="1">
      <c r="C271" s="313"/>
      <c r="D271" s="10" t="s">
        <v>481</v>
      </c>
      <c r="G271" s="10" t="s">
        <v>482</v>
      </c>
      <c r="H271" s="320"/>
      <c r="I271" s="12"/>
      <c r="J271" s="287"/>
      <c r="N271" s="9"/>
      <c r="P271" s="10"/>
      <c r="Q271" s="10"/>
      <c r="R271" s="10"/>
      <c r="S271" s="10"/>
      <c r="T271" s="10"/>
      <c r="U271" s="10"/>
      <c r="V271" s="10"/>
    </row>
    <row r="272" spans="3:22" ht="20.100000000000001" customHeight="1">
      <c r="C272" s="206"/>
      <c r="G272" s="12"/>
      <c r="H272" s="12"/>
      <c r="I272" s="207"/>
      <c r="J272" s="287"/>
    </row>
    <row r="273" spans="3:10" ht="35.1" customHeight="1">
      <c r="C273" s="274" t="s">
        <v>90</v>
      </c>
      <c r="D273" s="617" t="str">
        <f>VLOOKUP($C273,Orçamento!B:I,3,0)</f>
        <v>PLANTIO E PREPARO DE COVAS DE ARBUSTOS ORNAMENTAIS EM GERAL, EXCETO FORNECIMENTO DAS MUDAS</v>
      </c>
      <c r="E273" s="618"/>
      <c r="F273" s="618"/>
      <c r="G273" s="618"/>
      <c r="H273" s="619"/>
      <c r="I273" s="547" t="str">
        <f>VLOOKUP($C273,Orçamento!B:I,4,0)</f>
        <v xml:space="preserve">UN </v>
      </c>
      <c r="J273" s="273">
        <v>27</v>
      </c>
    </row>
    <row r="274" spans="3:10" ht="35.1" customHeight="1">
      <c r="C274" s="274" t="s">
        <v>104</v>
      </c>
      <c r="D274" s="617" t="str">
        <f>VLOOKUP($C274,Orçamento!B:I,3,0)</f>
        <v>PLANTIO E PREPARO DE COVAS DE ÁRVORES H MÍN. = 1,80 M COM COVA 60 X 60 X 60 CM, EXCETO FORNECIMENTO DAS MUDAS</v>
      </c>
      <c r="E274" s="618"/>
      <c r="F274" s="618"/>
      <c r="G274" s="618"/>
      <c r="H274" s="619"/>
      <c r="I274" s="547" t="str">
        <f>VLOOKUP($C274,Orçamento!B:I,4,0)</f>
        <v xml:space="preserve">UN </v>
      </c>
      <c r="J274" s="273">
        <f>27+21-14</f>
        <v>34</v>
      </c>
    </row>
    <row r="275" spans="3:10" ht="24.95" customHeight="1">
      <c r="C275" s="403" t="s">
        <v>655</v>
      </c>
      <c r="D275" s="617" t="str">
        <f>VLOOKUP($C275,Orçamento!B:I,3,0)</f>
        <v>FORNECIMENTO DE ÁRVORE - IPÊ ROSA</v>
      </c>
      <c r="E275" s="618"/>
      <c r="F275" s="618"/>
      <c r="G275" s="618"/>
      <c r="H275" s="619"/>
      <c r="I275" s="547" t="str">
        <f>VLOOKUP($C275,Orçamento!B:I,4,0)</f>
        <v xml:space="preserve">UN </v>
      </c>
      <c r="J275" s="273">
        <v>34</v>
      </c>
    </row>
    <row r="276" spans="3:10" ht="24.95" customHeight="1">
      <c r="C276" s="403" t="s">
        <v>656</v>
      </c>
      <c r="D276" s="617" t="str">
        <f>VLOOKUP($C276,Orçamento!B:I,3,0)</f>
        <v>FORNECIMENTO DE FORRAÇÃO - ALCALYPHA</v>
      </c>
      <c r="E276" s="618"/>
      <c r="F276" s="618"/>
      <c r="G276" s="618"/>
      <c r="H276" s="619"/>
      <c r="I276" s="547" t="str">
        <f>VLOOKUP($C276,Orçamento!B:I,4,0)</f>
        <v xml:space="preserve">UN </v>
      </c>
      <c r="J276" s="285">
        <v>12</v>
      </c>
    </row>
    <row r="277" spans="3:10" ht="24.95" customHeight="1">
      <c r="C277" s="403" t="s">
        <v>659</v>
      </c>
      <c r="D277" s="617" t="str">
        <f>VLOOKUP($C277,Orçamento!B:I,3,0)</f>
        <v>FORNECIMENTO DE FORRAÇÃO - CLOROFITO</v>
      </c>
      <c r="E277" s="618"/>
      <c r="F277" s="618"/>
      <c r="G277" s="618"/>
      <c r="H277" s="619"/>
      <c r="I277" s="547" t="str">
        <f>VLOOKUP($C277,Orçamento!B:I,4,0)</f>
        <v xml:space="preserve">UN </v>
      </c>
      <c r="J277" s="285">
        <v>15</v>
      </c>
    </row>
    <row r="278" spans="3:10" ht="24.95" customHeight="1">
      <c r="C278" s="407"/>
      <c r="D278" s="410"/>
      <c r="E278" s="411"/>
      <c r="F278" s="411"/>
      <c r="G278" s="411"/>
      <c r="H278" s="412"/>
      <c r="I278" s="407"/>
      <c r="J278" s="285"/>
    </row>
    <row r="279" spans="3:10" ht="24.95" customHeight="1">
      <c r="C279" s="283">
        <v>9</v>
      </c>
      <c r="D279" s="622" t="str">
        <f>VLOOKUP($C279,Orçamento!B:I,3,0)</f>
        <v>SINALIZAÇÃO</v>
      </c>
      <c r="E279" s="623"/>
      <c r="F279" s="623"/>
      <c r="G279" s="623"/>
      <c r="H279" s="637"/>
      <c r="I279" s="403"/>
      <c r="J279" s="285"/>
    </row>
    <row r="280" spans="3:10" ht="24.95" customHeight="1">
      <c r="C280" s="6" t="s">
        <v>61</v>
      </c>
      <c r="D280" s="620" t="str">
        <f>VLOOKUP($C280,Orçamento!B:I,3,0)</f>
        <v>PLACA ESMALTADA PARA IDENTIFICAÇÃO NR DE RUA, DIMENSÕES 45X25CM</v>
      </c>
      <c r="E280" s="620"/>
      <c r="F280" s="620"/>
      <c r="G280" s="620"/>
      <c r="H280" s="620"/>
      <c r="I280" s="547" t="str">
        <f>VLOOKUP($C280,Orçamento!B:I,4,0)</f>
        <v xml:space="preserve">UN </v>
      </c>
      <c r="J280" s="273">
        <v>21</v>
      </c>
    </row>
    <row r="281" spans="3:10" ht="35.1" customHeight="1">
      <c r="C281" s="274" t="s">
        <v>342</v>
      </c>
      <c r="D281" s="617" t="str">
        <f>VLOOKUP($C281,Orçamento!B:I,3,0)</f>
        <v>SINALIZACAO HORIZONTAL COM TINTA RETRORREFLETIVA A BASE DE RESINA ACRILICA COM MICROESFERAS DE VIDRO</v>
      </c>
      <c r="E281" s="618"/>
      <c r="F281" s="618"/>
      <c r="G281" s="618"/>
      <c r="H281" s="619"/>
      <c r="I281" s="547" t="str">
        <f>VLOOKUP($C281,Orçamento!B:I,4,0)</f>
        <v>M2</v>
      </c>
      <c r="J281" s="273">
        <f>E286+H286+E290+H290+E294+H294+E298</f>
        <v>307.36400000000003</v>
      </c>
    </row>
    <row r="282" spans="3:10" ht="20.100000000000001" customHeight="1">
      <c r="C282" s="96"/>
      <c r="D282" s="106"/>
      <c r="E282" s="106"/>
      <c r="F282" s="106"/>
      <c r="G282" s="106"/>
      <c r="H282" s="106"/>
      <c r="I282" s="205"/>
      <c r="J282" s="290"/>
    </row>
    <row r="283" spans="3:10" ht="20.100000000000001" customHeight="1">
      <c r="C283" s="206"/>
      <c r="D283" s="291" t="s">
        <v>76</v>
      </c>
      <c r="E283" s="292"/>
      <c r="F283" s="293"/>
      <c r="G283" s="291" t="s">
        <v>77</v>
      </c>
      <c r="H283" s="292"/>
      <c r="I283" s="293"/>
      <c r="J283" s="262"/>
    </row>
    <row r="284" spans="3:10" ht="20.100000000000001" customHeight="1">
      <c r="C284" s="206"/>
      <c r="D284" s="293" t="s">
        <v>110</v>
      </c>
      <c r="E284" s="292">
        <f>4*0.4</f>
        <v>1.6</v>
      </c>
      <c r="F284" s="293" t="s">
        <v>7</v>
      </c>
      <c r="G284" s="293" t="s">
        <v>25</v>
      </c>
      <c r="H284" s="292">
        <f>1.95*1.6</f>
        <v>3.12</v>
      </c>
      <c r="I284" s="293" t="s">
        <v>7</v>
      </c>
      <c r="J284" s="262"/>
    </row>
    <row r="285" spans="3:10" ht="20.100000000000001" customHeight="1">
      <c r="C285" s="206"/>
      <c r="D285" s="293" t="s">
        <v>111</v>
      </c>
      <c r="E285" s="292">
        <v>18</v>
      </c>
      <c r="F285" s="293" t="s">
        <v>29</v>
      </c>
      <c r="G285" s="293" t="s">
        <v>14</v>
      </c>
      <c r="H285" s="292">
        <v>5</v>
      </c>
      <c r="I285" s="293" t="s">
        <v>29</v>
      </c>
      <c r="J285" s="262"/>
    </row>
    <row r="286" spans="3:10" ht="20.100000000000001" customHeight="1">
      <c r="C286" s="206"/>
      <c r="D286" s="293"/>
      <c r="E286" s="294">
        <f>E284*E285</f>
        <v>28.8</v>
      </c>
      <c r="F286" s="293" t="s">
        <v>7</v>
      </c>
      <c r="G286" s="293"/>
      <c r="H286" s="294">
        <f>H284*H285</f>
        <v>15.600000000000001</v>
      </c>
      <c r="I286" s="293" t="s">
        <v>7</v>
      </c>
      <c r="J286" s="262"/>
    </row>
    <row r="287" spans="3:10" ht="20.100000000000001" customHeight="1">
      <c r="C287" s="206"/>
      <c r="D287" s="633" t="s">
        <v>79</v>
      </c>
      <c r="E287" s="633"/>
      <c r="F287" s="293"/>
      <c r="G287" s="633" t="s">
        <v>118</v>
      </c>
      <c r="H287" s="633"/>
      <c r="I287" s="293"/>
      <c r="J287" s="262"/>
    </row>
    <row r="288" spans="3:10" ht="20.100000000000001" customHeight="1">
      <c r="C288" s="206"/>
      <c r="D288" s="293" t="s">
        <v>113</v>
      </c>
      <c r="E288" s="292">
        <f>3*H285</f>
        <v>15</v>
      </c>
      <c r="F288" s="293" t="s">
        <v>4</v>
      </c>
      <c r="G288" s="293" t="s">
        <v>12</v>
      </c>
      <c r="H288" s="292">
        <f>Pavimentação!E11</f>
        <v>757.07</v>
      </c>
      <c r="I288" s="293" t="s">
        <v>4</v>
      </c>
      <c r="J288" s="262"/>
    </row>
    <row r="289" spans="3:10" ht="20.100000000000001" customHeight="1">
      <c r="C289" s="206"/>
      <c r="D289" s="293" t="s">
        <v>13</v>
      </c>
      <c r="E289" s="292">
        <v>0.6</v>
      </c>
      <c r="F289" s="293" t="s">
        <v>4</v>
      </c>
      <c r="G289" s="293" t="s">
        <v>13</v>
      </c>
      <c r="H289" s="292">
        <v>0.1</v>
      </c>
      <c r="I289" s="293" t="s">
        <v>4</v>
      </c>
      <c r="J289" s="262"/>
    </row>
    <row r="290" spans="3:10" ht="20.100000000000001" customHeight="1">
      <c r="C290" s="206"/>
      <c r="D290" s="293"/>
      <c r="E290" s="294">
        <f>E288*E289</f>
        <v>9</v>
      </c>
      <c r="F290" s="293" t="s">
        <v>7</v>
      </c>
      <c r="G290" s="293"/>
      <c r="H290" s="294">
        <f>H288*H289</f>
        <v>75.707000000000008</v>
      </c>
      <c r="I290" s="293" t="s">
        <v>7</v>
      </c>
      <c r="J290" s="262"/>
    </row>
    <row r="291" spans="3:10" ht="20.100000000000001" customHeight="1">
      <c r="C291" s="206"/>
      <c r="D291" s="633" t="s">
        <v>117</v>
      </c>
      <c r="E291" s="633"/>
      <c r="F291" s="293"/>
      <c r="G291" s="633" t="s">
        <v>78</v>
      </c>
      <c r="H291" s="633"/>
      <c r="I291" s="293"/>
      <c r="J291" s="262"/>
    </row>
    <row r="292" spans="3:10" ht="20.100000000000001" customHeight="1">
      <c r="C292" s="206"/>
      <c r="D292" s="293" t="s">
        <v>12</v>
      </c>
      <c r="E292" s="292">
        <f>46+1.25+2+2.6+3.3+4+4.6+5.3+6+6.6+7.3+8+8.7+9.3+9+60+10.9+8+22+1.2+1.7+2.4+2.4+3.2+3.54+2.7+2+1.4</f>
        <v>245.38999999999996</v>
      </c>
      <c r="F292" s="293" t="s">
        <v>4</v>
      </c>
      <c r="G292" s="293" t="s">
        <v>12</v>
      </c>
      <c r="H292" s="292">
        <f>585+585+100+100</f>
        <v>1370</v>
      </c>
      <c r="I292" s="293" t="s">
        <v>7</v>
      </c>
      <c r="J292" s="262"/>
    </row>
    <row r="293" spans="3:10" ht="20.100000000000001" customHeight="1">
      <c r="C293" s="206"/>
      <c r="D293" s="293" t="s">
        <v>13</v>
      </c>
      <c r="E293" s="292">
        <v>0.1</v>
      </c>
      <c r="F293" s="293" t="s">
        <v>4</v>
      </c>
      <c r="G293" s="293" t="s">
        <v>13</v>
      </c>
      <c r="H293" s="292">
        <v>0.1</v>
      </c>
      <c r="I293" s="293" t="s">
        <v>4</v>
      </c>
      <c r="J293" s="262"/>
    </row>
    <row r="294" spans="3:10" ht="20.100000000000001" customHeight="1">
      <c r="C294" s="206"/>
      <c r="D294" s="293"/>
      <c r="E294" s="294">
        <f>E292*E293</f>
        <v>24.538999999999998</v>
      </c>
      <c r="F294" s="293" t="s">
        <v>7</v>
      </c>
      <c r="G294" s="293"/>
      <c r="H294" s="294">
        <f>H292*H293</f>
        <v>137</v>
      </c>
      <c r="I294" s="293"/>
      <c r="J294" s="262"/>
    </row>
    <row r="295" spans="3:10" ht="20.100000000000001" customHeight="1">
      <c r="C295" s="206"/>
      <c r="D295" s="633" t="s">
        <v>119</v>
      </c>
      <c r="E295" s="633"/>
      <c r="F295" s="293"/>
      <c r="G295" s="293"/>
      <c r="H295" s="292"/>
      <c r="I295" s="293"/>
      <c r="J295" s="262"/>
    </row>
    <row r="296" spans="3:10" ht="20.100000000000001" customHeight="1">
      <c r="C296" s="206"/>
      <c r="D296" s="293" t="s">
        <v>12</v>
      </c>
      <c r="E296" s="292">
        <f>(0.5+0.87+1.24+1.61+1.4+0.9+8.5)*9+1.35+2.22+2.8+2.7+2.52+2.4+2.2+2.1+2+1.8+1.7+1.5+1.3+1.2+1+0.9+0.7+0.6+0.4+0.3+0.31</f>
        <v>167.18</v>
      </c>
      <c r="F296" s="293" t="s">
        <v>4</v>
      </c>
      <c r="G296" s="293"/>
      <c r="H296" s="292"/>
      <c r="I296" s="293"/>
      <c r="J296" s="262"/>
    </row>
    <row r="297" spans="3:10" ht="20.100000000000001" customHeight="1">
      <c r="C297" s="206"/>
      <c r="D297" s="293" t="s">
        <v>13</v>
      </c>
      <c r="E297" s="292">
        <v>0.1</v>
      </c>
      <c r="F297" s="293" t="s">
        <v>4</v>
      </c>
      <c r="G297" s="293"/>
      <c r="H297" s="292"/>
      <c r="I297" s="293"/>
      <c r="J297" s="262"/>
    </row>
    <row r="298" spans="3:10" ht="20.100000000000001" customHeight="1">
      <c r="C298" s="206"/>
      <c r="D298" s="293"/>
      <c r="E298" s="294">
        <f>E296*E297</f>
        <v>16.718</v>
      </c>
      <c r="F298" s="293" t="s">
        <v>7</v>
      </c>
      <c r="G298" s="293"/>
      <c r="H298" s="292"/>
      <c r="I298" s="293"/>
      <c r="J298" s="262"/>
    </row>
    <row r="299" spans="3:10" ht="15" customHeight="1">
      <c r="C299" s="206"/>
      <c r="D299" s="293"/>
      <c r="E299" s="292"/>
      <c r="F299" s="293"/>
      <c r="G299" s="293"/>
      <c r="H299" s="295"/>
      <c r="I299" s="293"/>
      <c r="J299" s="262"/>
    </row>
    <row r="300" spans="3:10" ht="24.95" customHeight="1">
      <c r="C300" s="6" t="s">
        <v>343</v>
      </c>
      <c r="D300" s="617" t="str">
        <f>VLOOKUP($C300,Orçamento!B:I,3,0)</f>
        <v>FORN. E IMPLANTAÇÃO PLACA SINALIZ. VERTICAL SEMI-REFLEXIVA</v>
      </c>
      <c r="E300" s="618"/>
      <c r="F300" s="618"/>
      <c r="G300" s="618"/>
      <c r="H300" s="619"/>
      <c r="I300" s="547" t="str">
        <f>VLOOKUP($C300,Orçamento!B:I,4,0)</f>
        <v>M2</v>
      </c>
      <c r="J300" s="273">
        <f>E305+H305+E309+H309</f>
        <v>8.3574448487230999</v>
      </c>
    </row>
    <row r="301" spans="3:10" ht="15" customHeight="1">
      <c r="C301" s="96"/>
      <c r="D301" s="106"/>
      <c r="E301" s="106"/>
      <c r="F301" s="106"/>
      <c r="G301" s="106"/>
      <c r="H301" s="106"/>
      <c r="I301" s="205"/>
      <c r="J301" s="290"/>
    </row>
    <row r="302" spans="3:10" ht="20.100000000000001" customHeight="1">
      <c r="C302" s="206"/>
      <c r="D302" s="291" t="s">
        <v>80</v>
      </c>
      <c r="E302" s="292"/>
      <c r="F302" s="293"/>
      <c r="G302" s="633" t="s">
        <v>81</v>
      </c>
      <c r="H302" s="633"/>
      <c r="I302" s="633"/>
      <c r="J302" s="262"/>
    </row>
    <row r="303" spans="3:10" ht="20.100000000000001" customHeight="1">
      <c r="C303" s="206"/>
      <c r="D303" s="293" t="s">
        <v>25</v>
      </c>
      <c r="E303" s="292">
        <f>4.828427*(0.25^2)</f>
        <v>0.30177668749999997</v>
      </c>
      <c r="F303" s="293" t="s">
        <v>7</v>
      </c>
      <c r="G303" s="293" t="s">
        <v>25</v>
      </c>
      <c r="H303" s="292">
        <f>PI()*((0.4^2)/4)</f>
        <v>0.12566370614359174</v>
      </c>
      <c r="I303" s="293" t="s">
        <v>7</v>
      </c>
      <c r="J303" s="262"/>
    </row>
    <row r="304" spans="3:10" ht="20.100000000000001" customHeight="1">
      <c r="C304" s="206"/>
      <c r="D304" s="293" t="s">
        <v>14</v>
      </c>
      <c r="E304" s="292">
        <v>18</v>
      </c>
      <c r="F304" s="293" t="s">
        <v>29</v>
      </c>
      <c r="G304" s="293" t="s">
        <v>14</v>
      </c>
      <c r="H304" s="292">
        <v>12</v>
      </c>
      <c r="I304" s="293" t="s">
        <v>29</v>
      </c>
      <c r="J304" s="262"/>
    </row>
    <row r="305" spans="3:10" ht="18.75" customHeight="1">
      <c r="C305" s="206"/>
      <c r="D305" s="293"/>
      <c r="E305" s="294">
        <f>E303*E304</f>
        <v>5.4319803749999993</v>
      </c>
      <c r="F305" s="293" t="s">
        <v>7</v>
      </c>
      <c r="G305" s="293"/>
      <c r="H305" s="294">
        <f>H303*H304</f>
        <v>1.5079644737231008</v>
      </c>
      <c r="I305" s="293" t="s">
        <v>7</v>
      </c>
      <c r="J305" s="262"/>
    </row>
    <row r="306" spans="3:10" ht="20.100000000000001" customHeight="1">
      <c r="C306" s="206"/>
      <c r="D306" s="633"/>
      <c r="E306" s="633"/>
      <c r="F306" s="293"/>
      <c r="G306" s="633" t="s">
        <v>112</v>
      </c>
      <c r="H306" s="633"/>
      <c r="I306" s="633"/>
      <c r="J306" s="262"/>
    </row>
    <row r="307" spans="3:10" ht="20.100000000000001" customHeight="1">
      <c r="C307" s="206"/>
      <c r="D307" s="293"/>
      <c r="E307" s="292"/>
      <c r="F307" s="293"/>
      <c r="G307" s="293" t="s">
        <v>25</v>
      </c>
      <c r="H307" s="292">
        <f>0.45*0.45</f>
        <v>0.20250000000000001</v>
      </c>
      <c r="I307" s="293" t="s">
        <v>7</v>
      </c>
      <c r="J307" s="262"/>
    </row>
    <row r="308" spans="3:10" ht="20.100000000000001" customHeight="1">
      <c r="C308" s="206"/>
      <c r="D308" s="293"/>
      <c r="E308" s="292"/>
      <c r="F308" s="293"/>
      <c r="G308" s="293" t="s">
        <v>14</v>
      </c>
      <c r="H308" s="292">
        <v>7</v>
      </c>
      <c r="I308" s="293" t="s">
        <v>29</v>
      </c>
      <c r="J308" s="262"/>
    </row>
    <row r="309" spans="3:10" ht="20.100000000000001" customHeight="1">
      <c r="C309" s="206"/>
      <c r="D309" s="293"/>
      <c r="E309" s="292"/>
      <c r="F309" s="293"/>
      <c r="G309" s="293"/>
      <c r="H309" s="294">
        <f>H307*H308</f>
        <v>1.4175</v>
      </c>
      <c r="I309" s="293" t="s">
        <v>7</v>
      </c>
      <c r="J309" s="262"/>
    </row>
    <row r="310" spans="3:10" ht="20.100000000000001" customHeight="1">
      <c r="C310" s="208"/>
      <c r="D310" s="107"/>
      <c r="E310" s="107"/>
      <c r="F310" s="107"/>
      <c r="G310" s="107"/>
      <c r="H310" s="107"/>
      <c r="I310" s="209"/>
      <c r="J310" s="296"/>
    </row>
    <row r="311" spans="3:10" ht="15.75" customHeight="1"/>
  </sheetData>
  <mergeCells count="134">
    <mergeCell ref="D250:H250"/>
    <mergeCell ref="D249:H249"/>
    <mergeCell ref="D258:H258"/>
    <mergeCell ref="D275:H275"/>
    <mergeCell ref="C5:H5"/>
    <mergeCell ref="C6:H6"/>
    <mergeCell ref="C7:J7"/>
    <mergeCell ref="C8:J8"/>
    <mergeCell ref="I5:J5"/>
    <mergeCell ref="D38:H38"/>
    <mergeCell ref="D175:H175"/>
    <mergeCell ref="D164:H164"/>
    <mergeCell ref="D112:E112"/>
    <mergeCell ref="D113:E113"/>
    <mergeCell ref="D114:E114"/>
    <mergeCell ref="H112:I112"/>
    <mergeCell ref="H113:I113"/>
    <mergeCell ref="D173:H173"/>
    <mergeCell ref="D120:H120"/>
    <mergeCell ref="D121:H121"/>
    <mergeCell ref="D72:E72"/>
    <mergeCell ref="C73:J73"/>
    <mergeCell ref="D30:H30"/>
    <mergeCell ref="D123:H123"/>
    <mergeCell ref="D242:H242"/>
    <mergeCell ref="D235:H235"/>
    <mergeCell ref="D187:H187"/>
    <mergeCell ref="D12:H12"/>
    <mergeCell ref="D10:H10"/>
    <mergeCell ref="D156:H156"/>
    <mergeCell ref="D11:H11"/>
    <mergeCell ref="D206:H206"/>
    <mergeCell ref="D236:H236"/>
    <mergeCell ref="D232:H232"/>
    <mergeCell ref="D27:H27"/>
    <mergeCell ref="D28:H28"/>
    <mergeCell ref="D36:H36"/>
    <mergeCell ref="D26:H26"/>
    <mergeCell ref="D25:H25"/>
    <mergeCell ref="D176:H176"/>
    <mergeCell ref="D178:H178"/>
    <mergeCell ref="D237:H237"/>
    <mergeCell ref="D122:H122"/>
    <mergeCell ref="D174:H174"/>
    <mergeCell ref="C3:J3"/>
    <mergeCell ref="H69:I69"/>
    <mergeCell ref="H70:I70"/>
    <mergeCell ref="H72:I72"/>
    <mergeCell ref="D109:E109"/>
    <mergeCell ref="D110:E110"/>
    <mergeCell ref="D111:E111"/>
    <mergeCell ref="H109:I109"/>
    <mergeCell ref="H110:I110"/>
    <mergeCell ref="H111:I111"/>
    <mergeCell ref="D47:H47"/>
    <mergeCell ref="D40:H40"/>
    <mergeCell ref="D66:E66"/>
    <mergeCell ref="D67:E67"/>
    <mergeCell ref="D68:E68"/>
    <mergeCell ref="D69:E69"/>
    <mergeCell ref="D70:E70"/>
    <mergeCell ref="D20:H20"/>
    <mergeCell ref="C14:J14"/>
    <mergeCell ref="D92:H92"/>
    <mergeCell ref="D99:H99"/>
    <mergeCell ref="G306:I306"/>
    <mergeCell ref="D306:E306"/>
    <mergeCell ref="D240:H240"/>
    <mergeCell ref="D241:H241"/>
    <mergeCell ref="D239:H239"/>
    <mergeCell ref="D234:H234"/>
    <mergeCell ref="D274:H274"/>
    <mergeCell ref="C231:J231"/>
    <mergeCell ref="G302:I302"/>
    <mergeCell ref="D287:E287"/>
    <mergeCell ref="G287:H287"/>
    <mergeCell ref="D281:H281"/>
    <mergeCell ref="D300:H300"/>
    <mergeCell ref="D295:E295"/>
    <mergeCell ref="D291:E291"/>
    <mergeCell ref="G291:H291"/>
    <mergeCell ref="D233:H233"/>
    <mergeCell ref="D279:H279"/>
    <mergeCell ref="D273:H273"/>
    <mergeCell ref="D276:H276"/>
    <mergeCell ref="D277:H277"/>
    <mergeCell ref="D259:H259"/>
    <mergeCell ref="D280:H280"/>
    <mergeCell ref="D238:H238"/>
    <mergeCell ref="D225:H225"/>
    <mergeCell ref="D182:H182"/>
    <mergeCell ref="D185:H185"/>
    <mergeCell ref="D186:H186"/>
    <mergeCell ref="D184:H184"/>
    <mergeCell ref="D183:H183"/>
    <mergeCell ref="D118:H118"/>
    <mergeCell ref="D119:H119"/>
    <mergeCell ref="D37:H37"/>
    <mergeCell ref="D197:H197"/>
    <mergeCell ref="D180:H180"/>
    <mergeCell ref="D124:H124"/>
    <mergeCell ref="D140:H140"/>
    <mergeCell ref="D147:H147"/>
    <mergeCell ref="D224:H224"/>
    <mergeCell ref="D215:H215"/>
    <mergeCell ref="D205:H205"/>
    <mergeCell ref="D223:H223"/>
    <mergeCell ref="D172:H172"/>
    <mergeCell ref="H114:I114"/>
    <mergeCell ref="C115:J115"/>
    <mergeCell ref="D177:H177"/>
    <mergeCell ref="D107:H107"/>
    <mergeCell ref="D155:H155"/>
    <mergeCell ref="D181:H181"/>
    <mergeCell ref="D179:H179"/>
    <mergeCell ref="D29:H29"/>
    <mergeCell ref="D31:H31"/>
    <mergeCell ref="D24:H24"/>
    <mergeCell ref="D21:H21"/>
    <mergeCell ref="D22:H22"/>
    <mergeCell ref="D23:H23"/>
    <mergeCell ref="D125:H125"/>
    <mergeCell ref="D132:H132"/>
    <mergeCell ref="D117:H117"/>
    <mergeCell ref="D39:H39"/>
    <mergeCell ref="D75:H75"/>
    <mergeCell ref="H66:I66"/>
    <mergeCell ref="H67:I67"/>
    <mergeCell ref="H68:I68"/>
    <mergeCell ref="D64:H64"/>
    <mergeCell ref="D34:H34"/>
    <mergeCell ref="D33:H33"/>
    <mergeCell ref="D71:E71"/>
    <mergeCell ref="H71:I71"/>
  </mergeCells>
  <phoneticPr fontId="9" type="noConversion"/>
  <conditionalFormatting sqref="I5:I6 J6 I8:J8 C5:C8">
    <cfRule type="expression" dxfId="419" priority="3" stopIfTrue="1">
      <formula>#REF!="y"</formula>
    </cfRule>
    <cfRule type="expression" dxfId="418" priority="4" stopIfTrue="1">
      <formula>#REF!="x"</formula>
    </cfRule>
  </conditionalFormatting>
  <printOptions horizontalCentered="1"/>
  <pageMargins left="0.23622047244094491" right="0.23622047244094491" top="0.74803149606299213" bottom="0.74803149606299213" header="1.9291338582677167" footer="0.31496062992125984"/>
  <pageSetup paperSize="9" scale="62" orientation="portrait" r:id="rId1"/>
  <headerFooter alignWithMargins="0">
    <oddHeader>&amp;R&amp;P / &amp;N</oddHeader>
  </headerFooter>
  <rowBreaks count="6" manualBreakCount="6">
    <brk id="38" min="1" max="10" man="1"/>
    <brk id="74" min="1" max="10" man="1"/>
    <brk id="155" min="1" max="10" man="1"/>
    <brk id="185" min="1" max="10" man="1"/>
    <brk id="257" min="1" max="10" man="1"/>
    <brk id="280" min="1" max="10" man="1"/>
  </rowBreaks>
  <drawing r:id="rId2"/>
</worksheet>
</file>

<file path=xl/worksheets/sheet3.xml><?xml version="1.0" encoding="utf-8"?>
<worksheet xmlns="http://schemas.openxmlformats.org/spreadsheetml/2006/main" xmlns:r="http://schemas.openxmlformats.org/officeDocument/2006/relationships">
  <dimension ref="A1:CL414"/>
  <sheetViews>
    <sheetView showGridLines="0" showZeros="0" view="pageBreakPreview" zoomScale="25" zoomScaleNormal="85" zoomScaleSheetLayoutView="25" workbookViewId="0">
      <selection activeCell="P69" sqref="P69"/>
    </sheetView>
  </sheetViews>
  <sheetFormatPr defaultColWidth="9" defaultRowHeight="15"/>
  <cols>
    <col min="1" max="1" width="9" style="186"/>
    <col min="2" max="2" width="11" style="192" customWidth="1"/>
    <col min="3" max="4" width="9.7109375" style="186" customWidth="1"/>
    <col min="5" max="5" width="11.140625" style="186" customWidth="1"/>
    <col min="6" max="6" width="29.7109375" style="186" customWidth="1"/>
    <col min="7" max="7" width="12.7109375" style="192" customWidth="1"/>
    <col min="8" max="8" width="17.140625" style="186" customWidth="1"/>
    <col min="9" max="9" width="15.28515625" style="186" customWidth="1"/>
    <col min="10" max="10" width="13.5703125" style="186" customWidth="1"/>
    <col min="11" max="11" width="15.28515625" style="186" customWidth="1"/>
    <col min="12" max="12" width="15" style="186" customWidth="1"/>
    <col min="13" max="13" width="21.7109375" style="186" customWidth="1"/>
    <col min="14" max="14" width="18.28515625" style="186" customWidth="1"/>
    <col min="15" max="15" width="18.28515625" style="195" customWidth="1"/>
    <col min="16" max="16" width="18.28515625" style="186" customWidth="1"/>
    <col min="17" max="17" width="18.28515625" style="89" customWidth="1"/>
    <col min="18" max="18" width="14.7109375" style="186" customWidth="1"/>
    <col min="19" max="19" width="18.7109375" style="186" customWidth="1"/>
    <col min="20" max="20" width="10.7109375" style="186" customWidth="1"/>
    <col min="21" max="46" width="6.7109375" style="186" customWidth="1"/>
    <col min="47" max="48" width="16.85546875" style="88" customWidth="1"/>
    <col min="49" max="49" width="15.85546875" style="88" customWidth="1"/>
    <col min="50" max="52" width="16.85546875" style="88" customWidth="1"/>
    <col min="53" max="53" width="13.7109375" style="186" customWidth="1"/>
    <col min="54" max="54" width="15.85546875" style="114" customWidth="1"/>
    <col min="55" max="55" width="12.85546875" style="114" customWidth="1"/>
    <col min="56" max="56" width="15.5703125" style="114" customWidth="1"/>
    <col min="57" max="57" width="12.140625" style="114" customWidth="1"/>
    <col min="58" max="58" width="15.5703125" style="114" customWidth="1"/>
    <col min="59" max="59" width="17.7109375" style="114" customWidth="1"/>
    <col min="60" max="60" width="11.85546875" style="114" customWidth="1"/>
    <col min="61" max="61" width="13.42578125" style="186" customWidth="1"/>
    <col min="62" max="62" width="14" style="115" customWidth="1"/>
    <col min="63" max="63" width="14" style="186" customWidth="1"/>
    <col min="64" max="65" width="13.42578125" style="186" customWidth="1"/>
    <col min="66" max="66" width="17.5703125" style="186" customWidth="1"/>
    <col min="67" max="67" width="13.42578125" style="186" customWidth="1"/>
    <col min="68" max="68" width="20.5703125" style="186" customWidth="1"/>
    <col min="69" max="69" width="2.140625" style="186" customWidth="1"/>
    <col min="70" max="71" width="9" style="186"/>
    <col min="72" max="72" width="12.5703125" style="186" customWidth="1"/>
    <col min="73" max="73" width="15.42578125" style="186" customWidth="1"/>
    <col min="74" max="74" width="15.7109375" style="186" customWidth="1"/>
    <col min="75" max="75" width="25" style="186" customWidth="1"/>
    <col min="76" max="76" width="16.85546875" style="186" customWidth="1"/>
    <col min="77" max="77" width="13.85546875" style="186" customWidth="1"/>
    <col min="78" max="78" width="21.7109375" style="186" customWidth="1"/>
    <col min="79" max="79" width="26.42578125" style="90" customWidth="1"/>
    <col min="80" max="81" width="34.140625" style="90" customWidth="1"/>
    <col min="82" max="82" width="14.7109375" style="186" customWidth="1"/>
    <col min="83" max="83" width="16.7109375" style="186" customWidth="1"/>
    <col min="84" max="84" width="20.7109375" style="186" customWidth="1"/>
    <col min="85" max="85" width="32.5703125" style="186" customWidth="1"/>
    <col min="86" max="87" width="20.7109375" style="186" customWidth="1"/>
    <col min="88" max="88" width="14.85546875" style="186" customWidth="1"/>
    <col min="89" max="89" width="16.85546875" style="186" customWidth="1"/>
    <col min="90" max="16384" width="9" style="186"/>
  </cols>
  <sheetData>
    <row r="1" spans="1:81" s="108" customFormat="1">
      <c r="B1" s="109"/>
      <c r="C1" s="110"/>
      <c r="D1" s="110"/>
      <c r="E1" s="110"/>
      <c r="F1" s="110"/>
      <c r="G1" s="111"/>
      <c r="H1" s="110"/>
      <c r="I1" s="110"/>
      <c r="J1" s="110"/>
      <c r="K1" s="110"/>
      <c r="L1" s="110"/>
      <c r="M1" s="110"/>
      <c r="N1" s="110"/>
      <c r="O1" s="112"/>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58"/>
      <c r="AV1" s="58"/>
      <c r="AW1" s="58"/>
      <c r="AX1" s="58"/>
      <c r="AY1" s="58"/>
      <c r="AZ1" s="58"/>
      <c r="BA1" s="110"/>
      <c r="BB1" s="113"/>
      <c r="BC1" s="113"/>
      <c r="BD1" s="113"/>
      <c r="BE1" s="113"/>
      <c r="BF1" s="114"/>
      <c r="BG1" s="114"/>
      <c r="BH1" s="114"/>
      <c r="BJ1" s="115"/>
      <c r="CA1" s="59"/>
      <c r="CB1" s="59"/>
      <c r="CC1" s="59"/>
    </row>
    <row r="2" spans="1:81" s="108" customFormat="1" ht="38.25" customHeight="1">
      <c r="B2" s="109"/>
      <c r="C2" s="110"/>
      <c r="D2" s="110"/>
      <c r="E2" s="110"/>
      <c r="F2" s="110"/>
      <c r="G2" s="111"/>
      <c r="H2" s="110"/>
      <c r="I2" s="110"/>
      <c r="J2" s="545" t="s">
        <v>765</v>
      </c>
      <c r="K2" s="538"/>
      <c r="L2" s="538"/>
      <c r="M2" s="538"/>
      <c r="N2" s="538"/>
      <c r="O2" s="539"/>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40"/>
      <c r="AV2" s="540"/>
      <c r="AW2" s="540"/>
      <c r="AX2" s="540"/>
      <c r="AY2" s="540"/>
      <c r="AZ2" s="540"/>
      <c r="BA2" s="538"/>
      <c r="BB2" s="541"/>
      <c r="BC2" s="541"/>
      <c r="BD2" s="541"/>
      <c r="BE2" s="541"/>
      <c r="BF2" s="542"/>
      <c r="BG2" s="542"/>
      <c r="BH2" s="542"/>
      <c r="BI2" s="543"/>
      <c r="BJ2" s="544"/>
      <c r="BK2" s="543"/>
      <c r="BL2" s="543"/>
      <c r="BM2" s="543"/>
      <c r="BN2" s="543"/>
      <c r="BO2" s="543"/>
      <c r="BP2" s="543"/>
      <c r="CA2" s="59"/>
      <c r="CB2" s="59"/>
      <c r="CC2" s="59"/>
    </row>
    <row r="3" spans="1:81" s="108" customFormat="1" ht="18.75">
      <c r="B3" s="109"/>
      <c r="C3" s="110"/>
      <c r="D3" s="110"/>
      <c r="E3" s="110"/>
      <c r="F3" s="110"/>
      <c r="G3" s="111"/>
      <c r="H3" s="110"/>
      <c r="I3" s="522" t="str">
        <f>Orçamento!B4</f>
        <v>PREFEITURA: Prefeitura Municipal de Pouso Alegre</v>
      </c>
      <c r="J3" s="110"/>
      <c r="K3" s="110"/>
      <c r="L3" s="110"/>
      <c r="M3" s="110"/>
      <c r="N3" s="110"/>
      <c r="O3" s="112"/>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58"/>
      <c r="AV3" s="58"/>
      <c r="AW3" s="58"/>
      <c r="AX3" s="58"/>
      <c r="AY3" s="58"/>
      <c r="AZ3" s="58"/>
      <c r="BA3" s="110"/>
      <c r="BB3" s="113"/>
      <c r="BC3" s="113"/>
      <c r="BD3" s="113"/>
      <c r="BE3" s="113"/>
      <c r="BF3" s="114"/>
      <c r="BG3" s="114"/>
      <c r="BH3" s="114"/>
      <c r="BJ3" s="115"/>
      <c r="CA3" s="59"/>
      <c r="CB3" s="59"/>
      <c r="CC3" s="59"/>
    </row>
    <row r="4" spans="1:81" s="108" customFormat="1" ht="18.75">
      <c r="B4" s="109"/>
      <c r="C4" s="110"/>
      <c r="D4" s="110"/>
      <c r="E4" s="110"/>
      <c r="F4" s="110"/>
      <c r="G4" s="111"/>
      <c r="H4" s="110"/>
      <c r="I4" s="522" t="str">
        <f>Orçamento!B5</f>
        <v>OBRA: Pavimentação e Drenagem da Via Noroeste 1º Etapa</v>
      </c>
      <c r="J4" s="110"/>
      <c r="K4" s="110"/>
      <c r="L4" s="110"/>
      <c r="M4" s="110"/>
      <c r="N4" s="110"/>
      <c r="O4" s="112"/>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58"/>
      <c r="AV4" s="58"/>
      <c r="AW4" s="58"/>
      <c r="AX4" s="58"/>
      <c r="AY4" s="58"/>
      <c r="AZ4" s="58"/>
      <c r="BA4" s="110"/>
      <c r="BB4" s="113"/>
      <c r="BC4" s="113"/>
      <c r="BD4" s="113"/>
      <c r="BE4" s="113"/>
      <c r="BF4" s="114"/>
      <c r="BG4" s="114"/>
      <c r="BH4" s="114"/>
      <c r="BJ4" s="115"/>
      <c r="CA4" s="59"/>
      <c r="CB4" s="59"/>
      <c r="CC4" s="59"/>
    </row>
    <row r="5" spans="1:81" s="108" customFormat="1" ht="18.75">
      <c r="B5" s="109"/>
      <c r="C5" s="110"/>
      <c r="D5" s="110"/>
      <c r="E5" s="110"/>
      <c r="F5" s="110"/>
      <c r="G5" s="111"/>
      <c r="H5" s="110"/>
      <c r="I5" s="522" t="str">
        <f>Orçamento!B8</f>
        <v>PRAZO DE EXECUÇÃO: 4 Meses</v>
      </c>
      <c r="J5" s="110"/>
      <c r="K5" s="110"/>
      <c r="L5" s="110"/>
      <c r="M5" s="110"/>
      <c r="N5" s="110"/>
      <c r="O5" s="112"/>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58"/>
      <c r="AV5" s="58"/>
      <c r="AW5" s="58"/>
      <c r="AX5" s="58"/>
      <c r="AY5" s="58"/>
      <c r="AZ5" s="58"/>
      <c r="BA5" s="110"/>
      <c r="BB5" s="113"/>
      <c r="BC5" s="113"/>
      <c r="BD5" s="113"/>
      <c r="BE5" s="113"/>
      <c r="BF5" s="114"/>
      <c r="BG5" s="114"/>
      <c r="BH5" s="114"/>
      <c r="BJ5" s="115"/>
      <c r="CA5" s="59"/>
      <c r="CB5" s="59"/>
      <c r="CC5" s="59"/>
    </row>
    <row r="6" spans="1:81" s="108" customFormat="1" ht="18.75">
      <c r="B6" s="109"/>
      <c r="C6" s="110"/>
      <c r="D6" s="110"/>
      <c r="E6" s="110"/>
      <c r="F6" s="110"/>
      <c r="G6" s="111"/>
      <c r="H6" s="110"/>
      <c r="I6" s="382">
        <f>Orçamento!B9</f>
        <v>0</v>
      </c>
      <c r="J6" s="110"/>
      <c r="K6" s="110"/>
      <c r="L6" s="110"/>
      <c r="M6" s="110"/>
      <c r="N6" s="110"/>
      <c r="O6" s="112"/>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58"/>
      <c r="AV6" s="58"/>
      <c r="AW6" s="58"/>
      <c r="AX6" s="58"/>
      <c r="AY6" s="58"/>
      <c r="AZ6" s="58"/>
      <c r="BA6" s="110"/>
      <c r="BB6" s="113"/>
      <c r="BC6" s="113"/>
      <c r="BD6" s="113"/>
      <c r="BE6" s="113"/>
      <c r="BF6" s="114"/>
      <c r="BG6" s="114"/>
      <c r="BH6" s="114"/>
      <c r="BJ6" s="115"/>
      <c r="CA6" s="59"/>
      <c r="CB6" s="59"/>
      <c r="CC6" s="59"/>
    </row>
    <row r="7" spans="1:81" s="108" customFormat="1" ht="18.75">
      <c r="B7" s="109"/>
      <c r="C7" s="110"/>
      <c r="D7" s="110"/>
      <c r="E7" s="110"/>
      <c r="F7" s="110"/>
      <c r="G7" s="111"/>
      <c r="H7" s="110"/>
      <c r="I7" s="382"/>
      <c r="J7" s="110"/>
      <c r="K7" s="110"/>
      <c r="L7" s="110"/>
      <c r="M7" s="110"/>
      <c r="N7" s="110"/>
      <c r="O7" s="112"/>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58"/>
      <c r="AV7" s="58"/>
      <c r="AW7" s="58"/>
      <c r="AX7" s="58"/>
      <c r="AY7" s="58"/>
      <c r="AZ7" s="58"/>
      <c r="BA7" s="110"/>
      <c r="BB7" s="113"/>
      <c r="BC7" s="113"/>
      <c r="BD7" s="113"/>
      <c r="BE7" s="113"/>
      <c r="BF7" s="114"/>
      <c r="BG7" s="114"/>
      <c r="BH7" s="114"/>
      <c r="BJ7" s="115"/>
      <c r="CA7" s="59"/>
      <c r="CB7" s="59"/>
      <c r="CC7" s="59"/>
    </row>
    <row r="8" spans="1:81" s="108" customFormat="1">
      <c r="B8" s="109"/>
      <c r="C8" s="110"/>
      <c r="D8" s="110"/>
      <c r="E8" s="110"/>
      <c r="F8" s="110"/>
      <c r="G8" s="111"/>
      <c r="H8" s="110"/>
      <c r="I8" s="110"/>
      <c r="J8" s="110"/>
      <c r="K8" s="110"/>
      <c r="L8" s="110"/>
      <c r="M8" s="110"/>
      <c r="N8" s="110"/>
      <c r="O8" s="112"/>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58"/>
      <c r="AV8" s="58"/>
      <c r="AW8" s="58"/>
      <c r="AX8" s="58"/>
      <c r="AY8" s="58"/>
      <c r="AZ8" s="58"/>
      <c r="BA8" s="110"/>
      <c r="BB8" s="113"/>
      <c r="BC8" s="113"/>
      <c r="BD8" s="113"/>
      <c r="BE8" s="113"/>
      <c r="BF8" s="114"/>
      <c r="BG8" s="114"/>
      <c r="BH8" s="114"/>
      <c r="BJ8" s="115"/>
      <c r="CA8" s="59"/>
      <c r="CB8" s="59"/>
      <c r="CC8" s="59"/>
    </row>
    <row r="9" spans="1:81" s="108" customFormat="1">
      <c r="B9" s="109"/>
      <c r="C9" s="110"/>
      <c r="D9" s="110"/>
      <c r="E9" s="110"/>
      <c r="F9" s="110"/>
      <c r="G9" s="111"/>
      <c r="H9" s="110"/>
      <c r="I9" s="110"/>
      <c r="J9" s="110"/>
      <c r="K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58"/>
      <c r="AV9" s="58"/>
      <c r="AW9" s="58"/>
      <c r="AX9" s="58"/>
      <c r="AY9" s="58"/>
      <c r="AZ9" s="58"/>
      <c r="BA9" s="110"/>
      <c r="BB9" s="113"/>
      <c r="BC9" s="113"/>
      <c r="BD9" s="113"/>
      <c r="BE9" s="113"/>
      <c r="BF9" s="114"/>
      <c r="BG9" s="114"/>
      <c r="BH9" s="114"/>
      <c r="BJ9" s="115"/>
      <c r="CA9" s="59"/>
      <c r="CB9" s="59"/>
      <c r="CC9" s="59"/>
    </row>
    <row r="10" spans="1:81" s="108" customFormat="1">
      <c r="A10" s="682" t="s">
        <v>128</v>
      </c>
      <c r="B10" s="682"/>
      <c r="C10" s="110"/>
      <c r="D10" s="110"/>
      <c r="E10" s="110"/>
      <c r="F10" s="110"/>
      <c r="G10" s="111"/>
      <c r="H10" s="200"/>
      <c r="I10" s="688" t="s">
        <v>207</v>
      </c>
      <c r="J10" s="687" t="s">
        <v>208</v>
      </c>
      <c r="K10" s="687"/>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58"/>
      <c r="AV10" s="58"/>
      <c r="AW10" s="58"/>
      <c r="AX10" s="58"/>
      <c r="AY10" s="58"/>
      <c r="AZ10" s="58"/>
      <c r="BA10" s="110"/>
      <c r="BB10" s="113"/>
      <c r="BC10" s="113"/>
      <c r="BD10" s="113"/>
      <c r="BE10" s="113"/>
      <c r="BF10" s="114"/>
      <c r="BG10" s="114"/>
      <c r="BH10" s="114"/>
      <c r="BJ10" s="115"/>
      <c r="CA10" s="59"/>
      <c r="CB10" s="59"/>
      <c r="CC10" s="59"/>
    </row>
    <row r="11" spans="1:81" s="108" customFormat="1" ht="15" customHeight="1">
      <c r="A11" s="116">
        <v>300</v>
      </c>
      <c r="B11" s="117">
        <v>500</v>
      </c>
      <c r="F11" s="118">
        <f>125-20</f>
        <v>105</v>
      </c>
      <c r="G11" s="111"/>
      <c r="H11" s="200"/>
      <c r="I11" s="689"/>
      <c r="J11" s="120" t="s">
        <v>93</v>
      </c>
      <c r="K11" s="120" t="s">
        <v>209</v>
      </c>
      <c r="L11" s="119" t="s">
        <v>129</v>
      </c>
      <c r="M11" s="119"/>
      <c r="N11" s="119"/>
      <c r="O11" s="119"/>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58"/>
      <c r="AV11" s="58"/>
      <c r="AW11" s="58"/>
      <c r="AX11" s="58"/>
      <c r="AY11" s="58"/>
      <c r="AZ11" s="58"/>
      <c r="BA11" s="110"/>
      <c r="BB11" s="113"/>
      <c r="BC11" s="113"/>
      <c r="BD11" s="113"/>
      <c r="BE11" s="113"/>
      <c r="BF11" s="114"/>
      <c r="BG11" s="114"/>
      <c r="BH11" s="114"/>
      <c r="BJ11" s="115"/>
      <c r="CA11" s="59"/>
      <c r="CB11" s="59"/>
      <c r="CC11" s="59"/>
    </row>
    <row r="12" spans="1:81" s="108" customFormat="1" ht="15" customHeight="1">
      <c r="A12" s="116">
        <v>375</v>
      </c>
      <c r="B12" s="117">
        <v>500</v>
      </c>
      <c r="H12" s="62"/>
      <c r="I12" s="64" t="s">
        <v>130</v>
      </c>
      <c r="J12" s="120">
        <f>ROUND(SUMIF($C:$C,500,$D:$D),0)</f>
        <v>1</v>
      </c>
      <c r="K12" s="120"/>
      <c r="L12" s="119"/>
      <c r="M12" s="119"/>
      <c r="N12" s="119"/>
      <c r="O12" s="119"/>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58"/>
      <c r="AV12" s="58"/>
      <c r="AW12" s="58"/>
      <c r="AX12" s="58"/>
      <c r="AY12" s="58"/>
      <c r="AZ12" s="58"/>
      <c r="BA12" s="110"/>
      <c r="BB12" s="113"/>
      <c r="BC12" s="113"/>
      <c r="BD12" s="113"/>
      <c r="BE12" s="113"/>
      <c r="BF12" s="114"/>
      <c r="BG12" s="114"/>
      <c r="BH12" s="114"/>
      <c r="BJ12" s="115"/>
      <c r="CA12" s="59"/>
      <c r="CB12" s="59"/>
      <c r="CC12" s="59"/>
    </row>
    <row r="13" spans="1:81" s="108" customFormat="1" ht="15.75">
      <c r="A13" s="116">
        <v>500</v>
      </c>
      <c r="B13" s="117">
        <v>600</v>
      </c>
      <c r="H13" s="62"/>
      <c r="I13" s="64" t="s">
        <v>91</v>
      </c>
      <c r="J13" s="120">
        <f>ROUND(SUMIF($C:$C,600,$D:$D),0)</f>
        <v>10</v>
      </c>
      <c r="K13" s="120">
        <v>1</v>
      </c>
      <c r="L13" s="119" t="s">
        <v>131</v>
      </c>
      <c r="M13" s="119"/>
      <c r="N13" s="119"/>
      <c r="O13" s="119"/>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58"/>
      <c r="AV13" s="58"/>
      <c r="AW13" s="58"/>
      <c r="AX13" s="58"/>
      <c r="AY13" s="58"/>
      <c r="AZ13" s="58"/>
      <c r="BA13" s="110"/>
      <c r="BB13" s="113"/>
      <c r="BC13" s="113"/>
      <c r="BD13" s="113"/>
      <c r="BE13" s="113"/>
      <c r="BF13" s="114"/>
      <c r="BG13" s="114"/>
      <c r="BH13" s="114"/>
      <c r="BJ13" s="115"/>
      <c r="CA13" s="59"/>
      <c r="CB13" s="59"/>
      <c r="CC13" s="59"/>
    </row>
    <row r="14" spans="1:81" s="108" customFormat="1" ht="15.75">
      <c r="A14" s="60">
        <v>600</v>
      </c>
      <c r="B14" s="102">
        <v>700</v>
      </c>
      <c r="H14" s="62"/>
      <c r="I14" s="64" t="s">
        <v>132</v>
      </c>
      <c r="J14" s="120">
        <f>SUMIF($C:$C,700,$D:$D)</f>
        <v>0</v>
      </c>
      <c r="K14" s="120"/>
      <c r="L14" s="119"/>
      <c r="M14" s="119"/>
      <c r="N14" s="119"/>
      <c r="O14" s="119"/>
      <c r="P14" s="121"/>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1"/>
      <c r="AV14" s="61"/>
      <c r="AW14" s="61"/>
      <c r="AX14" s="61"/>
      <c r="AY14" s="61"/>
      <c r="AZ14" s="61"/>
      <c r="BA14" s="60"/>
      <c r="BB14" s="91"/>
      <c r="BC14" s="91"/>
      <c r="BD14" s="91"/>
      <c r="BE14" s="91"/>
      <c r="BF14" s="91"/>
      <c r="BG14" s="91"/>
      <c r="BH14" s="91"/>
      <c r="BI14" s="60"/>
      <c r="BJ14" s="91"/>
      <c r="BK14" s="60"/>
      <c r="BL14" s="60"/>
      <c r="BM14" s="60"/>
      <c r="BN14" s="60"/>
      <c r="BO14" s="60"/>
      <c r="BP14" s="60"/>
      <c r="CA14" s="59"/>
      <c r="CB14" s="59"/>
      <c r="CC14" s="59"/>
    </row>
    <row r="15" spans="1:81" s="108" customFormat="1" ht="15" customHeight="1">
      <c r="A15" s="116">
        <v>750</v>
      </c>
      <c r="B15" s="117">
        <v>800</v>
      </c>
      <c r="H15" s="62"/>
      <c r="I15" s="64" t="s">
        <v>94</v>
      </c>
      <c r="J15" s="120">
        <f>ROUND(SUMIF($C:$C,800,$D:$D),0)</f>
        <v>1</v>
      </c>
      <c r="K15" s="120">
        <v>4</v>
      </c>
      <c r="P15" s="110"/>
      <c r="Q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58"/>
      <c r="AV15" s="58"/>
      <c r="AW15" s="58"/>
      <c r="AX15" s="58"/>
      <c r="AY15" s="58"/>
      <c r="AZ15" s="58"/>
      <c r="BA15" s="110"/>
      <c r="BB15" s="113"/>
      <c r="BC15" s="113"/>
      <c r="BD15" s="113"/>
      <c r="BE15" s="113"/>
      <c r="BF15" s="114"/>
      <c r="BG15" s="114"/>
      <c r="BH15" s="114"/>
      <c r="BJ15" s="115"/>
      <c r="CA15" s="59"/>
      <c r="CB15" s="59"/>
      <c r="CC15" s="59"/>
    </row>
    <row r="16" spans="1:81" s="108" customFormat="1" ht="15" customHeight="1">
      <c r="A16" s="60">
        <v>800</v>
      </c>
      <c r="B16" s="102">
        <v>900</v>
      </c>
      <c r="H16" s="62"/>
      <c r="I16" s="64" t="s">
        <v>133</v>
      </c>
      <c r="J16" s="120">
        <f>SUMIF($C:$C,900,$D:$D)</f>
        <v>0</v>
      </c>
      <c r="K16" s="120"/>
      <c r="P16" s="121"/>
      <c r="Q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1"/>
      <c r="AV16" s="61"/>
      <c r="AW16" s="61"/>
      <c r="AX16" s="61"/>
      <c r="AY16" s="61"/>
      <c r="AZ16" s="61"/>
      <c r="BA16" s="60"/>
      <c r="BB16" s="91"/>
      <c r="BC16" s="91"/>
      <c r="BD16" s="91"/>
      <c r="BE16" s="91"/>
      <c r="BF16" s="91"/>
      <c r="BG16" s="91"/>
      <c r="BH16" s="91"/>
      <c r="BI16" s="60"/>
      <c r="BJ16" s="91"/>
      <c r="BK16" s="60"/>
      <c r="BL16" s="60"/>
      <c r="BM16" s="60"/>
      <c r="BN16" s="60"/>
      <c r="BO16" s="60"/>
      <c r="BP16" s="60"/>
      <c r="CA16" s="59"/>
      <c r="CB16" s="59"/>
      <c r="CC16" s="59"/>
    </row>
    <row r="17" spans="1:90" s="108" customFormat="1">
      <c r="A17" s="60">
        <v>900</v>
      </c>
      <c r="B17" s="102">
        <v>1000</v>
      </c>
      <c r="H17" s="62"/>
      <c r="I17" s="64" t="s">
        <v>107</v>
      </c>
      <c r="J17" s="120">
        <f>ROUND(SUMIF($C:$C,1000,$D:$D),0)</f>
        <v>0</v>
      </c>
      <c r="K17" s="120"/>
      <c r="P17" s="121"/>
      <c r="Q17" s="91"/>
      <c r="V17" s="60"/>
      <c r="W17" s="63"/>
      <c r="X17" s="60"/>
      <c r="Y17" s="60"/>
      <c r="Z17" s="60"/>
      <c r="AA17" s="60"/>
      <c r="AB17" s="60"/>
      <c r="AC17" s="63"/>
      <c r="AD17" s="60"/>
      <c r="AE17" s="60"/>
      <c r="AF17" s="60"/>
      <c r="AG17" s="63"/>
      <c r="AH17" s="60"/>
      <c r="AI17" s="60"/>
      <c r="AJ17" s="60"/>
      <c r="AK17" s="63"/>
      <c r="AL17" s="60"/>
      <c r="AM17" s="60"/>
      <c r="AN17" s="60"/>
      <c r="AO17" s="63"/>
      <c r="AP17" s="60"/>
      <c r="AQ17" s="60"/>
      <c r="AR17" s="60"/>
      <c r="AS17" s="63"/>
      <c r="AT17" s="60"/>
      <c r="AU17" s="61"/>
      <c r="AV17" s="61"/>
      <c r="AW17" s="61"/>
      <c r="AX17" s="61"/>
      <c r="AY17" s="61"/>
      <c r="AZ17" s="61"/>
      <c r="BB17" s="114"/>
      <c r="BC17" s="91"/>
      <c r="BD17" s="91"/>
      <c r="BE17" s="91"/>
      <c r="BF17" s="91"/>
      <c r="BG17" s="91"/>
      <c r="BH17" s="91"/>
      <c r="BI17" s="60"/>
      <c r="BJ17" s="91"/>
      <c r="BK17" s="60"/>
      <c r="BL17" s="60"/>
      <c r="BM17" s="60"/>
      <c r="BN17" s="60"/>
      <c r="BO17" s="60"/>
      <c r="BP17" s="60"/>
      <c r="BS17" s="683" t="s">
        <v>70</v>
      </c>
      <c r="BT17" s="683"/>
      <c r="BU17" s="122">
        <v>0</v>
      </c>
      <c r="BV17" s="123"/>
      <c r="BW17" s="122"/>
      <c r="BX17" s="123"/>
      <c r="BY17" s="123"/>
      <c r="CA17" s="59"/>
      <c r="CB17" s="59"/>
      <c r="CC17" s="59"/>
    </row>
    <row r="18" spans="1:90" s="108" customFormat="1">
      <c r="A18" s="60">
        <v>1000</v>
      </c>
      <c r="B18" s="102">
        <v>1100</v>
      </c>
      <c r="H18" s="62"/>
      <c r="I18" s="64" t="s">
        <v>134</v>
      </c>
      <c r="J18" s="120">
        <f>SUMIF($C:$C,1100,$D:$D)</f>
        <v>0</v>
      </c>
      <c r="K18" s="120"/>
      <c r="P18" s="124"/>
      <c r="Q18" s="91"/>
      <c r="AU18" s="65"/>
      <c r="AV18" s="65"/>
      <c r="AW18" s="65"/>
      <c r="AX18" s="65"/>
      <c r="AY18" s="65"/>
      <c r="AZ18" s="65"/>
      <c r="BA18" s="60"/>
      <c r="BB18" s="91"/>
      <c r="BC18" s="91"/>
      <c r="BD18" s="91"/>
      <c r="BE18" s="91"/>
      <c r="BF18" s="91"/>
      <c r="BG18" s="91"/>
      <c r="BH18" s="91"/>
      <c r="BI18" s="60"/>
      <c r="BJ18" s="91"/>
      <c r="BK18" s="60"/>
      <c r="BL18" s="60"/>
      <c r="BM18" s="60"/>
      <c r="BN18" s="60"/>
      <c r="BO18" s="60"/>
      <c r="BP18" s="60"/>
      <c r="BT18" s="66"/>
      <c r="BU18" s="125"/>
      <c r="BV18" s="60"/>
      <c r="BW18" s="125"/>
      <c r="BX18" s="123"/>
      <c r="CA18" s="59"/>
      <c r="CB18" s="59"/>
      <c r="CC18" s="59"/>
    </row>
    <row r="19" spans="1:90" s="108" customFormat="1">
      <c r="A19" s="60">
        <v>1100</v>
      </c>
      <c r="B19" s="102">
        <v>1500</v>
      </c>
      <c r="H19" s="62"/>
      <c r="I19" s="64" t="s">
        <v>108</v>
      </c>
      <c r="J19" s="120">
        <f>ROUND(SUMIF($C:$C,1200,$D:$D),0)</f>
        <v>0</v>
      </c>
      <c r="K19" s="120"/>
      <c r="L19" s="60"/>
      <c r="M19" s="196" t="str">
        <f t="shared" ref="M19:R19" si="0">IF(M20&gt;0,"DN (mm)",0)</f>
        <v>DN (mm)</v>
      </c>
      <c r="N19" s="196" t="str">
        <f t="shared" si="0"/>
        <v>DN (mm)</v>
      </c>
      <c r="O19" s="196" t="str">
        <f t="shared" si="0"/>
        <v>DN (mm)</v>
      </c>
      <c r="P19" s="196" t="str">
        <f t="shared" si="0"/>
        <v>DN (mm)</v>
      </c>
      <c r="Q19" s="196" t="str">
        <f t="shared" si="0"/>
        <v>DN (mm)</v>
      </c>
      <c r="R19" s="196" t="str">
        <f t="shared" si="0"/>
        <v>DN (mm)</v>
      </c>
      <c r="T19" s="68"/>
      <c r="Y19" s="60"/>
      <c r="Z19" s="102"/>
      <c r="AA19" s="60"/>
      <c r="AB19" s="102"/>
      <c r="AC19" s="102"/>
      <c r="AD19" s="102"/>
      <c r="AE19" s="60"/>
      <c r="AF19" s="102"/>
      <c r="AG19" s="102"/>
      <c r="AH19" s="102"/>
      <c r="AI19" s="60"/>
      <c r="AJ19" s="102"/>
      <c r="AK19" s="102"/>
      <c r="AL19" s="102"/>
      <c r="AM19" s="60"/>
      <c r="AN19" s="102"/>
      <c r="AO19" s="102"/>
      <c r="AP19" s="102"/>
      <c r="AQ19" s="60"/>
      <c r="AR19" s="102"/>
      <c r="AS19" s="102"/>
      <c r="AT19" s="102"/>
      <c r="AU19" s="65"/>
      <c r="AV19" s="65"/>
      <c r="AW19" s="65"/>
      <c r="AX19" s="65"/>
      <c r="AY19" s="65"/>
      <c r="AZ19" s="65"/>
      <c r="BA19" s="60"/>
      <c r="BB19" s="91"/>
      <c r="BC19" s="91"/>
      <c r="BD19" s="91"/>
      <c r="BE19" s="91"/>
      <c r="BF19" s="91"/>
      <c r="BG19" s="91"/>
      <c r="BH19" s="91"/>
      <c r="BI19" s="60"/>
      <c r="BJ19" s="91"/>
      <c r="BK19" s="60"/>
      <c r="BL19" s="60"/>
      <c r="BM19" s="60"/>
      <c r="BN19" s="60"/>
      <c r="BO19" s="60"/>
      <c r="BP19" s="60"/>
      <c r="BS19" s="683" t="s">
        <v>135</v>
      </c>
      <c r="BT19" s="683"/>
      <c r="BU19" s="122">
        <v>1</v>
      </c>
      <c r="BV19" s="123"/>
      <c r="BW19" s="122"/>
      <c r="BX19" s="60"/>
      <c r="CA19" s="59"/>
      <c r="CB19" s="59"/>
      <c r="CC19" s="59"/>
    </row>
    <row r="20" spans="1:90" s="108" customFormat="1">
      <c r="B20" s="109"/>
      <c r="C20" s="60"/>
      <c r="D20" s="60"/>
      <c r="E20" s="60"/>
      <c r="F20" s="60"/>
      <c r="G20" s="102"/>
      <c r="H20" s="62"/>
      <c r="I20" s="60"/>
      <c r="J20" s="121"/>
      <c r="L20" s="60"/>
      <c r="M20" s="196" t="s">
        <v>136</v>
      </c>
      <c r="N20" s="196" t="s">
        <v>137</v>
      </c>
      <c r="O20" s="196" t="s">
        <v>138</v>
      </c>
      <c r="P20" s="196" t="s">
        <v>139</v>
      </c>
      <c r="Q20" s="196" t="s">
        <v>140</v>
      </c>
      <c r="R20" s="196" t="s">
        <v>210</v>
      </c>
      <c r="T20" s="67"/>
      <c r="Y20" s="60"/>
      <c r="Z20" s="102"/>
      <c r="AA20" s="60"/>
      <c r="AB20" s="102"/>
      <c r="AC20" s="102"/>
      <c r="AD20" s="102"/>
      <c r="AE20" s="60"/>
      <c r="AF20" s="102"/>
      <c r="AG20" s="102"/>
      <c r="AH20" s="102"/>
      <c r="AI20" s="60"/>
      <c r="AJ20" s="102"/>
      <c r="AK20" s="102"/>
      <c r="AL20" s="102"/>
      <c r="AM20" s="60"/>
      <c r="AN20" s="102"/>
      <c r="AO20" s="102"/>
      <c r="AP20" s="102"/>
      <c r="AQ20" s="60"/>
      <c r="AR20" s="102"/>
      <c r="AS20" s="102"/>
      <c r="AT20" s="102"/>
      <c r="AU20" s="69"/>
      <c r="AV20" s="69"/>
      <c r="AW20" s="69"/>
      <c r="AX20" s="69"/>
      <c r="AY20" s="69"/>
      <c r="AZ20" s="69"/>
      <c r="BA20" s="60"/>
      <c r="BB20" s="91"/>
      <c r="BC20" s="91"/>
      <c r="BD20" s="91"/>
      <c r="BE20" s="91"/>
      <c r="BF20" s="91"/>
      <c r="BG20" s="91"/>
      <c r="BH20" s="91"/>
      <c r="BI20" s="60"/>
      <c r="BJ20" s="91"/>
      <c r="BK20" s="60"/>
      <c r="BL20" s="60"/>
      <c r="BM20" s="60"/>
      <c r="BN20" s="60"/>
      <c r="BO20" s="60"/>
      <c r="BP20" s="60"/>
      <c r="BT20" s="684"/>
      <c r="BU20" s="684"/>
      <c r="BV20" s="123"/>
      <c r="BW20" s="60"/>
      <c r="BX20" s="123"/>
      <c r="BY20" s="123"/>
      <c r="CA20" s="59"/>
      <c r="CB20" s="59"/>
      <c r="CC20" s="59"/>
    </row>
    <row r="21" spans="1:90" s="108" customFormat="1">
      <c r="B21" s="109"/>
      <c r="C21" s="60"/>
      <c r="D21" s="60"/>
      <c r="E21" s="60"/>
      <c r="F21" s="60"/>
      <c r="G21" s="102"/>
      <c r="I21" s="60" t="s">
        <v>141</v>
      </c>
      <c r="J21" s="120">
        <v>24</v>
      </c>
      <c r="L21" s="60" t="s">
        <v>72</v>
      </c>
      <c r="M21" s="197">
        <f>SUMIF($I$24:$I$581,$M$20,$P$24:$P$581)</f>
        <v>51.880648495946922</v>
      </c>
      <c r="N21" s="197">
        <f>SUMIF($I$24:$I$581,$N$20,$P$24:$P$581)</f>
        <v>580.21022332983591</v>
      </c>
      <c r="O21" s="197">
        <f>SUMIF($I$24:$I$581,$O$20,$P$24:$P$581)</f>
        <v>72.006623214878474</v>
      </c>
      <c r="P21" s="197">
        <f>SUMIF($I$24:$I$581,$P$20,$P$24:$P$581)</f>
        <v>0</v>
      </c>
      <c r="Q21" s="197">
        <f>SUMIF($I$24:$I$581,$Q$20,$P$24:$P$581)</f>
        <v>0</v>
      </c>
      <c r="R21" s="197">
        <f>SUMIF($I$24:$I$581,$R$20,$P$24:$P$581)</f>
        <v>0</v>
      </c>
      <c r="T21" s="68"/>
      <c r="Y21" s="60"/>
      <c r="Z21" s="124"/>
      <c r="AA21" s="60"/>
      <c r="AB21" s="124"/>
      <c r="AC21" s="124"/>
      <c r="AD21" s="124"/>
      <c r="AE21" s="60"/>
      <c r="AF21" s="124"/>
      <c r="AG21" s="124"/>
      <c r="AH21" s="124"/>
      <c r="AI21" s="60"/>
      <c r="AJ21" s="124"/>
      <c r="AK21" s="124"/>
      <c r="AL21" s="124"/>
      <c r="AM21" s="60"/>
      <c r="AN21" s="124"/>
      <c r="AO21" s="124"/>
      <c r="AP21" s="124"/>
      <c r="AQ21" s="60"/>
      <c r="AR21" s="124"/>
      <c r="AS21" s="124"/>
      <c r="AT21" s="124"/>
      <c r="AU21" s="69"/>
      <c r="AV21" s="69"/>
      <c r="AW21" s="69"/>
      <c r="AX21" s="69"/>
      <c r="AY21" s="69"/>
      <c r="AZ21" s="69"/>
      <c r="BA21" s="60"/>
      <c r="BB21" s="91"/>
      <c r="BC21" s="91"/>
      <c r="BD21" s="91"/>
      <c r="BE21" s="91"/>
      <c r="BF21" s="91"/>
      <c r="BG21" s="91"/>
      <c r="BH21" s="91"/>
      <c r="BI21" s="60"/>
      <c r="BJ21" s="91"/>
      <c r="BK21" s="60"/>
      <c r="BL21" s="60"/>
      <c r="BM21" s="60"/>
      <c r="BN21" s="60"/>
      <c r="BO21" s="60"/>
      <c r="BP21" s="60"/>
      <c r="BT21" s="66"/>
      <c r="BU21" s="66"/>
      <c r="BV21" s="60"/>
      <c r="BW21" s="60"/>
      <c r="BX21" s="123"/>
      <c r="CA21" s="59"/>
      <c r="CB21" s="59"/>
      <c r="CC21" s="59"/>
    </row>
    <row r="22" spans="1:90" s="108" customFormat="1">
      <c r="B22" s="109"/>
      <c r="C22" s="60"/>
      <c r="D22" s="60"/>
      <c r="E22" s="60"/>
      <c r="F22" s="60"/>
      <c r="G22" s="102"/>
      <c r="H22" s="60"/>
      <c r="I22" s="60" t="s">
        <v>206</v>
      </c>
      <c r="J22" s="120">
        <v>28</v>
      </c>
      <c r="K22" s="60"/>
      <c r="L22" s="60"/>
      <c r="M22" s="91"/>
      <c r="N22" s="124"/>
      <c r="O22" s="126"/>
      <c r="P22" s="124"/>
      <c r="Q22" s="60"/>
      <c r="R22" s="127"/>
      <c r="T22" s="67"/>
      <c r="U22" s="67"/>
      <c r="V22" s="70"/>
      <c r="W22" s="70"/>
      <c r="X22" s="70"/>
      <c r="Y22" s="67"/>
      <c r="Z22" s="70"/>
      <c r="AA22" s="67"/>
      <c r="AB22" s="70"/>
      <c r="AC22" s="70"/>
      <c r="AD22" s="70"/>
      <c r="AE22" s="67"/>
      <c r="AF22" s="70"/>
      <c r="AG22" s="70"/>
      <c r="AH22" s="70"/>
      <c r="AI22" s="67"/>
      <c r="AJ22" s="70"/>
      <c r="AK22" s="70"/>
      <c r="AL22" s="70"/>
      <c r="AM22" s="67"/>
      <c r="AN22" s="70"/>
      <c r="AO22" s="70"/>
      <c r="AP22" s="70"/>
      <c r="AQ22" s="67"/>
      <c r="AR22" s="70"/>
      <c r="AS22" s="70"/>
      <c r="AT22" s="70"/>
      <c r="AU22" s="69"/>
      <c r="AV22" s="69"/>
      <c r="AW22" s="69"/>
      <c r="AX22" s="69"/>
      <c r="AY22" s="69"/>
      <c r="AZ22" s="69"/>
      <c r="BA22" s="60"/>
      <c r="BB22" s="91"/>
      <c r="BC22" s="91"/>
      <c r="BD22" s="91"/>
      <c r="BE22" s="91"/>
      <c r="BF22" s="91"/>
      <c r="BG22" s="91"/>
      <c r="BH22" s="91"/>
      <c r="BI22" s="685"/>
      <c r="BJ22" s="91"/>
      <c r="BK22" s="60"/>
      <c r="BL22" s="685"/>
      <c r="BM22" s="685"/>
      <c r="BN22" s="685"/>
      <c r="BO22" s="685"/>
      <c r="BP22" s="685"/>
      <c r="CA22" s="59"/>
      <c r="CB22" s="59"/>
      <c r="CC22" s="59"/>
    </row>
    <row r="23" spans="1:90" s="108" customFormat="1">
      <c r="B23" s="109"/>
      <c r="C23" s="60"/>
      <c r="D23" s="60"/>
      <c r="E23" s="60"/>
      <c r="F23" s="60"/>
      <c r="G23" s="102"/>
      <c r="H23" s="71"/>
      <c r="I23" s="71"/>
      <c r="J23" s="71"/>
      <c r="K23" s="71"/>
      <c r="L23" s="71"/>
      <c r="M23" s="60"/>
      <c r="N23" s="60"/>
      <c r="O23" s="128"/>
      <c r="P23" s="60"/>
      <c r="Q23" s="60"/>
      <c r="R23" s="72"/>
      <c r="S23" s="72"/>
      <c r="T23" s="72"/>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4"/>
      <c r="AV23" s="74"/>
      <c r="AW23" s="74"/>
      <c r="AX23" s="74"/>
      <c r="AY23" s="74"/>
      <c r="AZ23" s="74"/>
      <c r="BA23" s="60"/>
      <c r="BB23" s="91"/>
      <c r="BC23" s="129"/>
      <c r="BD23" s="129"/>
      <c r="BE23" s="91"/>
      <c r="BF23" s="91"/>
      <c r="BG23" s="91"/>
      <c r="BH23" s="91"/>
      <c r="BI23" s="686"/>
      <c r="BJ23" s="91"/>
      <c r="BK23" s="60"/>
      <c r="BL23" s="686"/>
      <c r="BM23" s="686"/>
      <c r="BN23" s="686"/>
      <c r="BO23" s="686"/>
      <c r="BP23" s="686"/>
      <c r="CA23" s="59"/>
      <c r="CB23" s="59"/>
      <c r="CC23" s="59"/>
    </row>
    <row r="24" spans="1:90" s="130" customFormat="1" ht="35.25" customHeight="1">
      <c r="B24" s="131"/>
      <c r="C24" s="700" t="s">
        <v>142</v>
      </c>
      <c r="D24" s="700" t="s">
        <v>143</v>
      </c>
      <c r="E24" s="700" t="s">
        <v>144</v>
      </c>
      <c r="F24" s="704" t="s">
        <v>145</v>
      </c>
      <c r="G24" s="700" t="s">
        <v>146</v>
      </c>
      <c r="H24" s="697" t="s">
        <v>147</v>
      </c>
      <c r="I24" s="697" t="s">
        <v>148</v>
      </c>
      <c r="J24" s="668" t="s">
        <v>149</v>
      </c>
      <c r="K24" s="668" t="s">
        <v>150</v>
      </c>
      <c r="L24" s="697" t="s">
        <v>151</v>
      </c>
      <c r="M24" s="668" t="s">
        <v>73</v>
      </c>
      <c r="N24" s="668" t="s">
        <v>152</v>
      </c>
      <c r="O24" s="690" t="s">
        <v>153</v>
      </c>
      <c r="P24" s="668" t="s">
        <v>154</v>
      </c>
      <c r="Q24" s="668" t="s">
        <v>71</v>
      </c>
      <c r="R24" s="673" t="s">
        <v>155</v>
      </c>
      <c r="S24" s="673"/>
      <c r="T24" s="673"/>
      <c r="U24" s="695" t="s">
        <v>156</v>
      </c>
      <c r="V24" s="696"/>
      <c r="W24" s="696"/>
      <c r="X24" s="696"/>
      <c r="Y24" s="696"/>
      <c r="Z24" s="696"/>
      <c r="AA24" s="696"/>
      <c r="AB24" s="696"/>
      <c r="AC24" s="696"/>
      <c r="AD24" s="696"/>
      <c r="AE24" s="696"/>
      <c r="AF24" s="696"/>
      <c r="AG24" s="696"/>
      <c r="AH24" s="696"/>
      <c r="AI24" s="695" t="s">
        <v>157</v>
      </c>
      <c r="AJ24" s="696"/>
      <c r="AK24" s="696"/>
      <c r="AL24" s="696"/>
      <c r="AM24" s="696"/>
      <c r="AN24" s="696"/>
      <c r="AO24" s="696"/>
      <c r="AP24" s="696"/>
      <c r="AQ24" s="696"/>
      <c r="AR24" s="696"/>
      <c r="AS24" s="696"/>
      <c r="AT24" s="696"/>
      <c r="AU24" s="679" t="s">
        <v>158</v>
      </c>
      <c r="AV24" s="680"/>
      <c r="AW24" s="680"/>
      <c r="AX24" s="680"/>
      <c r="AY24" s="680"/>
      <c r="AZ24" s="681"/>
      <c r="BA24" s="671" t="s">
        <v>159</v>
      </c>
      <c r="BB24" s="671" t="s">
        <v>160</v>
      </c>
      <c r="BC24" s="671" t="s">
        <v>161</v>
      </c>
      <c r="BD24" s="671" t="s">
        <v>162</v>
      </c>
      <c r="BE24" s="671" t="s">
        <v>163</v>
      </c>
      <c r="BF24" s="678" t="s">
        <v>164</v>
      </c>
      <c r="BG24" s="678" t="s">
        <v>165</v>
      </c>
      <c r="BH24" s="678" t="s">
        <v>166</v>
      </c>
      <c r="BI24" s="673" t="s">
        <v>167</v>
      </c>
      <c r="BJ24" s="678" t="s">
        <v>168</v>
      </c>
      <c r="BK24" s="678" t="s">
        <v>169</v>
      </c>
      <c r="BL24" s="673" t="s">
        <v>170</v>
      </c>
      <c r="BM24" s="665" t="s">
        <v>171</v>
      </c>
      <c r="BN24" s="666"/>
      <c r="BO24" s="666"/>
      <c r="BP24" s="667"/>
      <c r="BT24" s="132"/>
      <c r="BV24" s="133"/>
      <c r="CA24" s="75"/>
      <c r="CB24" s="75"/>
      <c r="CC24" s="75"/>
    </row>
    <row r="25" spans="1:90" s="130" customFormat="1" ht="30" customHeight="1">
      <c r="B25" s="131"/>
      <c r="C25" s="701"/>
      <c r="D25" s="701"/>
      <c r="E25" s="701"/>
      <c r="F25" s="705"/>
      <c r="G25" s="701"/>
      <c r="H25" s="698"/>
      <c r="I25" s="698"/>
      <c r="J25" s="669"/>
      <c r="K25" s="669"/>
      <c r="L25" s="698"/>
      <c r="M25" s="693"/>
      <c r="N25" s="693"/>
      <c r="O25" s="691"/>
      <c r="P25" s="693"/>
      <c r="Q25" s="693"/>
      <c r="R25" s="668" t="s">
        <v>74</v>
      </c>
      <c r="S25" s="671" t="s">
        <v>172</v>
      </c>
      <c r="T25" s="671" t="s">
        <v>173</v>
      </c>
      <c r="U25" s="675" t="s">
        <v>174</v>
      </c>
      <c r="V25" s="676"/>
      <c r="W25" s="676"/>
      <c r="X25" s="676"/>
      <c r="Y25" s="676"/>
      <c r="Z25" s="676"/>
      <c r="AA25" s="675" t="s">
        <v>175</v>
      </c>
      <c r="AB25" s="676"/>
      <c r="AC25" s="676"/>
      <c r="AD25" s="676"/>
      <c r="AE25" s="676"/>
      <c r="AF25" s="676"/>
      <c r="AG25" s="676"/>
      <c r="AH25" s="677"/>
      <c r="AI25" s="675" t="s">
        <v>174</v>
      </c>
      <c r="AJ25" s="676"/>
      <c r="AK25" s="676"/>
      <c r="AL25" s="676"/>
      <c r="AM25" s="675" t="s">
        <v>175</v>
      </c>
      <c r="AN25" s="676"/>
      <c r="AO25" s="676"/>
      <c r="AP25" s="676"/>
      <c r="AQ25" s="676"/>
      <c r="AR25" s="676"/>
      <c r="AS25" s="676"/>
      <c r="AT25" s="677"/>
      <c r="AU25" s="662" t="str">
        <f>BW30</f>
        <v>SEM ESCORAMENTO</v>
      </c>
      <c r="AV25" s="662" t="str">
        <f>BX30</f>
        <v>DESCONTÍNUO</v>
      </c>
      <c r="AW25" s="662" t="str">
        <f>BY30</f>
        <v>CONTÍNUO</v>
      </c>
      <c r="AX25" s="662" t="str">
        <f>CA30</f>
        <v>PRANCHÃO DE MADEIRA</v>
      </c>
      <c r="AY25" s="662" t="str">
        <f>CB30</f>
        <v>PERFIL METÁLICO "I" CRAVADO</v>
      </c>
      <c r="AZ25" s="662" t="str">
        <f>CC30</f>
        <v>PRANCHÃO METÁLICO</v>
      </c>
      <c r="BA25" s="672"/>
      <c r="BB25" s="672"/>
      <c r="BC25" s="672"/>
      <c r="BD25" s="672"/>
      <c r="BE25" s="672"/>
      <c r="BF25" s="678"/>
      <c r="BG25" s="678"/>
      <c r="BH25" s="678"/>
      <c r="BI25" s="678"/>
      <c r="BJ25" s="678"/>
      <c r="BK25" s="678"/>
      <c r="BL25" s="678"/>
      <c r="BM25" s="674"/>
      <c r="BN25" s="707"/>
      <c r="BO25" s="707"/>
      <c r="BP25" s="708"/>
      <c r="BT25" s="132"/>
      <c r="BV25" s="133"/>
      <c r="CA25" s="75"/>
      <c r="CB25" s="75"/>
      <c r="CC25" s="75"/>
    </row>
    <row r="26" spans="1:90" s="130" customFormat="1" ht="30" customHeight="1">
      <c r="B26" s="131"/>
      <c r="C26" s="701"/>
      <c r="D26" s="701"/>
      <c r="E26" s="701"/>
      <c r="F26" s="705"/>
      <c r="G26" s="701"/>
      <c r="H26" s="698"/>
      <c r="I26" s="698"/>
      <c r="J26" s="669"/>
      <c r="K26" s="669"/>
      <c r="L26" s="698"/>
      <c r="M26" s="693"/>
      <c r="N26" s="693"/>
      <c r="O26" s="691"/>
      <c r="P26" s="693"/>
      <c r="Q26" s="693"/>
      <c r="R26" s="669"/>
      <c r="S26" s="672"/>
      <c r="T26" s="672"/>
      <c r="U26" s="665" t="s">
        <v>176</v>
      </c>
      <c r="V26" s="666"/>
      <c r="W26" s="666"/>
      <c r="X26" s="666"/>
      <c r="Y26" s="666"/>
      <c r="Z26" s="666"/>
      <c r="AA26" s="665" t="s">
        <v>176</v>
      </c>
      <c r="AB26" s="666"/>
      <c r="AC26" s="666"/>
      <c r="AD26" s="666"/>
      <c r="AE26" s="666"/>
      <c r="AF26" s="666"/>
      <c r="AG26" s="666"/>
      <c r="AH26" s="667"/>
      <c r="AI26" s="665" t="s">
        <v>176</v>
      </c>
      <c r="AJ26" s="666"/>
      <c r="AK26" s="666"/>
      <c r="AL26" s="666"/>
      <c r="AM26" s="665" t="s">
        <v>176</v>
      </c>
      <c r="AN26" s="666"/>
      <c r="AO26" s="666"/>
      <c r="AP26" s="666"/>
      <c r="AQ26" s="666"/>
      <c r="AR26" s="666"/>
      <c r="AS26" s="666"/>
      <c r="AT26" s="667"/>
      <c r="AU26" s="663"/>
      <c r="AV26" s="663"/>
      <c r="AW26" s="663"/>
      <c r="AX26" s="663"/>
      <c r="AY26" s="663"/>
      <c r="AZ26" s="663"/>
      <c r="BA26" s="672"/>
      <c r="BB26" s="672"/>
      <c r="BC26" s="672"/>
      <c r="BD26" s="672"/>
      <c r="BE26" s="672"/>
      <c r="BF26" s="678"/>
      <c r="BG26" s="678"/>
      <c r="BH26" s="678"/>
      <c r="BI26" s="678"/>
      <c r="BJ26" s="678"/>
      <c r="BK26" s="678"/>
      <c r="BL26" s="678"/>
      <c r="BM26" s="104"/>
      <c r="BN26" s="134"/>
      <c r="BO26" s="134"/>
      <c r="BP26" s="105"/>
      <c r="BT26" s="132"/>
      <c r="BV26" s="133"/>
      <c r="CA26" s="75"/>
      <c r="CB26" s="75"/>
      <c r="CC26" s="75"/>
    </row>
    <row r="27" spans="1:90" s="130" customFormat="1" ht="36.75" customHeight="1">
      <c r="A27" s="135"/>
      <c r="B27" s="136"/>
      <c r="C27" s="702"/>
      <c r="D27" s="703"/>
      <c r="E27" s="703"/>
      <c r="F27" s="706"/>
      <c r="G27" s="703"/>
      <c r="H27" s="699"/>
      <c r="I27" s="699"/>
      <c r="J27" s="670"/>
      <c r="K27" s="670"/>
      <c r="L27" s="699"/>
      <c r="M27" s="694"/>
      <c r="N27" s="694"/>
      <c r="O27" s="692"/>
      <c r="P27" s="694"/>
      <c r="Q27" s="694"/>
      <c r="R27" s="670"/>
      <c r="S27" s="673"/>
      <c r="T27" s="674"/>
      <c r="U27" s="137">
        <v>0</v>
      </c>
      <c r="V27" s="138">
        <v>1.5</v>
      </c>
      <c r="W27" s="139">
        <v>1.5</v>
      </c>
      <c r="X27" s="138">
        <v>3</v>
      </c>
      <c r="Y27" s="139">
        <v>3</v>
      </c>
      <c r="Z27" s="139">
        <v>4.5</v>
      </c>
      <c r="AA27" s="137">
        <v>0</v>
      </c>
      <c r="AB27" s="138">
        <v>1.5</v>
      </c>
      <c r="AC27" s="139">
        <v>1.5</v>
      </c>
      <c r="AD27" s="138">
        <v>3</v>
      </c>
      <c r="AE27" s="139">
        <v>3</v>
      </c>
      <c r="AF27" s="139">
        <v>4.5</v>
      </c>
      <c r="AG27" s="137">
        <v>4.5</v>
      </c>
      <c r="AH27" s="138">
        <v>6</v>
      </c>
      <c r="AI27" s="137">
        <v>0</v>
      </c>
      <c r="AJ27" s="138">
        <v>1.5</v>
      </c>
      <c r="AK27" s="139">
        <v>1.5</v>
      </c>
      <c r="AL27" s="138">
        <v>3</v>
      </c>
      <c r="AM27" s="137">
        <v>0</v>
      </c>
      <c r="AN27" s="138">
        <v>1.5</v>
      </c>
      <c r="AO27" s="139">
        <v>1.5</v>
      </c>
      <c r="AP27" s="138">
        <v>3</v>
      </c>
      <c r="AQ27" s="139">
        <v>3</v>
      </c>
      <c r="AR27" s="139">
        <v>4</v>
      </c>
      <c r="AS27" s="137">
        <v>4</v>
      </c>
      <c r="AT27" s="138">
        <v>6</v>
      </c>
      <c r="AU27" s="664"/>
      <c r="AV27" s="664"/>
      <c r="AW27" s="664"/>
      <c r="AX27" s="664"/>
      <c r="AY27" s="664"/>
      <c r="AZ27" s="664"/>
      <c r="BA27" s="673"/>
      <c r="BB27" s="673"/>
      <c r="BC27" s="673"/>
      <c r="BD27" s="673"/>
      <c r="BE27" s="673"/>
      <c r="BF27" s="678"/>
      <c r="BG27" s="678"/>
      <c r="BH27" s="678"/>
      <c r="BI27" s="678"/>
      <c r="BJ27" s="678"/>
      <c r="BK27" s="678"/>
      <c r="BL27" s="678"/>
      <c r="BM27" s="103" t="s">
        <v>177</v>
      </c>
      <c r="BN27" s="103" t="s">
        <v>178</v>
      </c>
      <c r="BO27" s="103" t="s">
        <v>179</v>
      </c>
      <c r="BP27" s="103" t="s">
        <v>180</v>
      </c>
      <c r="BZ27" s="140"/>
      <c r="CA27" s="75"/>
      <c r="CB27" s="75"/>
      <c r="CC27" s="75"/>
    </row>
    <row r="28" spans="1:90" s="108" customFormat="1">
      <c r="B28" s="109"/>
      <c r="C28" s="141">
        <f t="shared" ref="C28:C62" si="1">IF(AND(LARGE(Q27:Q29,1)&gt;=$A$11,LARGE(Q27:Q29,1)&lt;=$B$11),500,IF(AND(LARGE(Q27:Q29,1)&gt;=$A$12,LARGE(Q27:Q29,1)&lt;=$B$12),500,IF(AND(LARGE(Q27:Q29,1)&gt;=$A$13,LARGE(Q27:Q29,1)&lt;=$B$13),600,IF(AND(LARGE(Q27:Q29,1)&gt;=$A$14,LARGE(Q27:Q29,1)&lt;=$B$14),700,IF(AND(LARGE(Q27:Q29,1)&gt;=$A$15,LARGE(Q27:Q29,1)&lt;=$B$15),800,IF(AND(LARGE(Q27:Q29,1)&gt;=$A$16,LARGE(Q27:Q29,1)&lt;=$B$16),900,IF(AND(LARGE(Q27:Q29,1)&gt;=$A$17,LARGE(Q27:Q29,1)&lt;=$B$17),1000,IF(AND(LARGE(Q27:Q29,1)&gt;=$A$18,LARGE(Q27:Q29,1)&lt;=$B$18),1100,IF(AND(LARGE(Q27:Q29,1)&gt;=$A$19,LARGE(Q27:Q29,1)&lt;=$B$19),1200)))))))))</f>
        <v>600</v>
      </c>
      <c r="D28" s="141">
        <f t="shared" ref="D28:D91" si="2">IFERROR(IF(SEARCH("pv",M28)=1,IF(M28&gt;0,1/COUNTIF(M:M,M28),0),0),0)</f>
        <v>1</v>
      </c>
      <c r="E28" s="141"/>
      <c r="F28" s="142"/>
      <c r="G28" s="143" t="s">
        <v>146</v>
      </c>
      <c r="H28" s="80">
        <f t="shared" ref="H28:H91" si="3">IFERROR(VLOOKUP(I28,$CF$75:$CK$104,6,0),0)</f>
        <v>0</v>
      </c>
      <c r="I28" s="80" t="str">
        <f t="shared" ref="I28:I93" si="4">CONCATENATE(J28,Q28)</f>
        <v/>
      </c>
      <c r="J28" s="144"/>
      <c r="K28" s="210" t="s">
        <v>126</v>
      </c>
      <c r="L28" s="144"/>
      <c r="M28" s="76" t="s">
        <v>358</v>
      </c>
      <c r="N28" s="77"/>
      <c r="O28" s="145"/>
      <c r="P28" s="77">
        <f t="shared" ref="P28:P93" si="5">SQRT(((N28*O28)^2)+(N28^2))</f>
        <v>0</v>
      </c>
      <c r="Q28" s="78"/>
      <c r="R28" s="79">
        <v>1.5</v>
      </c>
      <c r="S28" s="146">
        <f t="shared" ref="S28:S62" si="6">IF(AND(L28="água"),((R27+R29)/2)+((H28/1000))+BJ28+VLOOKUP(Q28,$CH$31:$CI$52,2,0)+VLOOKUP(Q28,$CF$31:$CG$52,2,0),IF(Q28&gt;0,((R27+R29)/2)+((H28/1000))+BJ28,0))</f>
        <v>0</v>
      </c>
      <c r="T28" s="141">
        <f>IF(R28&gt;0,IF(R28&gt;=1.5,R28-1.5,0))</f>
        <v>0</v>
      </c>
      <c r="U28" s="649">
        <f t="shared" ref="U28:U91" si="7">IFERROR(IF(L28="SECO",IF(AND(S28&gt;$U$27,S28&lt;=$V$27),(P28*S28*E28),IF(S28&gt;=$V$27,(($V$27-$U$27)*P28*E28),0))*$BU$17,0),0)</f>
        <v>0</v>
      </c>
      <c r="V28" s="650"/>
      <c r="W28" s="649">
        <f t="shared" ref="W28:W91" si="8">IFERROR(IF(L28="SECO",IF(AND(S28&gt;$W$27,S28&lt;=$X$27),(P28*(S28-$V$27)*E28),IF(S28&gt;=$X$27,(($X$27-$W$27)*P28*E28),0))*$BU$17,0),0)</f>
        <v>0</v>
      </c>
      <c r="X28" s="650"/>
      <c r="Y28" s="649">
        <f t="shared" ref="Y28:Y91" si="9">IFERROR(IF(L28="SECO",IF(AND(S28&gt;$Y$27,S28&lt;=$Z$27),(P28*(S28-$X$27)*E28),IF(S28&gt;=$Z$27,(($Z$27-$Y$27)*P28*E28),0))*$BU$17,0),0)</f>
        <v>0</v>
      </c>
      <c r="Z28" s="650"/>
      <c r="AA28" s="649">
        <f t="shared" ref="AA28:AA91" si="10">IFERROR(IF(L28="SECO",IF(AND(S28&gt;$AA$27,S28&lt;=$AB$27),(P28*S28*E28),IF(S28&gt;=$AB$27,(($AB$27-$AA$27)*P28*E28),0))*$BU$19,0),0)</f>
        <v>0</v>
      </c>
      <c r="AB28" s="650"/>
      <c r="AC28" s="649">
        <f t="shared" ref="AC28:AC91" si="11">IFERROR(IF(L28="SECO",IF(AND(S28&gt;$AC$27,S28&lt;=$AD$27),(P28*(S28-$AB$27)*E28),IF(S28&gt;=$AD$27,(($AD$27-$AC$27)*P28*E28),0))*$BU$19,0),0)</f>
        <v>0</v>
      </c>
      <c r="AD28" s="650"/>
      <c r="AE28" s="649">
        <f t="shared" ref="AE28:AE91" si="12">IFERROR(IF(L28="SECO",IF(AND(S28&gt;$AE$27,S28&lt;=$AF$27),(P28*(S28-$AD$27)*E28),IF(S28&gt;=$AF$27,(($AF$27-$AE$27)*P28*E28),0))*$BU$19,0),0)</f>
        <v>0</v>
      </c>
      <c r="AF28" s="650"/>
      <c r="AG28" s="649">
        <f t="shared" ref="AG28:AG91" si="13">IFERROR(IF(L28="SECO",IF(AND(S28&gt;$AG$27,S28&lt;=$AH$27),(P28*(S28-$AF$27)*E28),IF(S28&gt;=$AH$27,(($AH$27-$AG$27)*P28*E28),0))*($BU$19+$BU$17),0),0)</f>
        <v>0</v>
      </c>
      <c r="AH28" s="650"/>
      <c r="AI28" s="649">
        <f t="shared" ref="AI28:AI91" si="14">IFERROR(IF(L28="ÁGUA",IF(AND(S28&gt;$AI$27,S28&lt;=$AJ$27),(P28*S28*E28),IF(S28&gt;=$AJ$27,(($AJ$27-$AI$27)*P28*E28),0))*$BU$17,0),0)</f>
        <v>0</v>
      </c>
      <c r="AJ28" s="650"/>
      <c r="AK28" s="649">
        <f t="shared" ref="AK28:AK91" si="15">IFERROR(IF(L28="ÁGUA",IF(AND(S28&gt;$AK$27,S28&lt;=$AL$27),(P28*(S28-$AJ$27)*E28),IF(S28&gt;=$AL$27,(($AL$27-$AK$27)*P28*E28),0))*$BU$17,0),0)</f>
        <v>0</v>
      </c>
      <c r="AL28" s="650"/>
      <c r="AM28" s="649">
        <f t="shared" ref="AM28:AM91" si="16">IFERROR(IF(L28="ÁGUA",IF(AND(S28&gt;$AM$27,S28&lt;=$AN$27),(P28*S28*E28),IF(S28&gt;=$AN$27,(($AN$27-$AM$27)*P28*E28),0))*$BU$19,0),0)</f>
        <v>0</v>
      </c>
      <c r="AN28" s="650"/>
      <c r="AO28" s="649">
        <f t="shared" ref="AO28:AO91" si="17">IFERROR(IF(L28="ÁGUA",IF(AND(S28&gt;$AO$27,S28&lt;=$AP$27),(P28*(S28-$AN$27)*E28),IF(S28&gt;=$AP$27,(($AP$27-$AO$27)*P28*E28),0))*$BU$19,0),0)</f>
        <v>0</v>
      </c>
      <c r="AP28" s="650"/>
      <c r="AQ28" s="649">
        <f t="shared" ref="AQ28:AQ91" si="18">IFERROR(IF(L28="ÁGUA",IF(AND(S28&gt;$AQ$27,S28&lt;=$AR$27),(P28*(S28-$AP$27)*E28),IF(S28&gt;=$AR$27,(($AR$27-$AQ$27)*P28*E28),0))*($BU$19+$BU$17),0),0)</f>
        <v>0</v>
      </c>
      <c r="AR28" s="650"/>
      <c r="AS28" s="651">
        <f t="shared" ref="AS28:AS91" si="19">IFERROR(IF(L28="ÁGUA",IF(AND(S28&gt;$AS$27,S28&lt;=$AT$27),(P28*(S28-$AR$27)*E28),IF(S28&gt;=$AT$27,(($AT$27-$AS$27)*P28*E28),0))*($BU$19+$BU$17),0),0)</f>
        <v>0</v>
      </c>
      <c r="AT28" s="652"/>
      <c r="AU28" s="141">
        <f t="shared" ref="AU28:AU93" si="20">IF((S28&lt;1.25),S28*P28*2,0)</f>
        <v>0</v>
      </c>
      <c r="AV28" s="141">
        <f t="shared" ref="AV28:AV93" si="21">IF(AND(L28="seco",S28&gt;=1.25,S28&lt;3),S28*P28*2,0)</f>
        <v>0</v>
      </c>
      <c r="AW28" s="141">
        <f t="shared" ref="AW28:AW93" si="22">IF(AND(L28="seco",S28&gt;=3),S28*P28*2,0)</f>
        <v>0</v>
      </c>
      <c r="AX28" s="141">
        <f t="shared" ref="AX28:AX93" si="23">IF(AND(L28="água",S28&gt;=1.25,S28&lt;4),S28*P28*2,0)</f>
        <v>0</v>
      </c>
      <c r="AY28" s="141">
        <f t="shared" ref="AY28:AY93" si="24">IF(AND(L28="água",S28&gt;=4,S28&lt;5),S28*P28*2,0)</f>
        <v>0</v>
      </c>
      <c r="AZ28" s="141">
        <f t="shared" ref="AZ28:AZ93" si="25">IF(AND(L28="água",S28&gt;=5),S28*P28*2,0)</f>
        <v>0</v>
      </c>
      <c r="BA28" s="141">
        <f t="shared" ref="BA28:BA93" si="26">SUM(U28:AT28)</f>
        <v>0</v>
      </c>
      <c r="BB28" s="141">
        <f t="shared" ref="BB28:BB93" si="27">BA28-((PI()*((Q28/2000)^2)*P28)+BG28+BH28+BK28+BF28)</f>
        <v>0</v>
      </c>
      <c r="BC28" s="141">
        <f t="shared" ref="BC28:BC93" si="28">IF(L28="ÁGUA",BA28,BA28-BB28)</f>
        <v>0</v>
      </c>
      <c r="BD28" s="141">
        <f t="shared" ref="BD28:BD93" si="29">IF(L28="ÁGUA",BB28,0)</f>
        <v>0</v>
      </c>
      <c r="BE28" s="141">
        <f t="shared" ref="BE28:BE93" si="30">IFERROR(P28*E28,0)</f>
        <v>0</v>
      </c>
      <c r="BF28" s="141">
        <f t="shared" ref="BF28:BF93" si="31">IF(OR(J28="PEAD",J28="PVC"),((((H28+Q28)/1000)+0.6)*E28*P28)-((PI()*((Q28/2000)^2)*P28)),0)</f>
        <v>0</v>
      </c>
      <c r="BG28" s="141">
        <f t="shared" ref="BG28:BG91" si="32">IF(L28="água",(VLOOKUP(Q28,$CF$31:$CG$52,2,0)*E28*P28),0)</f>
        <v>0</v>
      </c>
      <c r="BH28" s="141">
        <f t="shared" ref="BH28:BH91" si="33">IF(L28="água",(VLOOKUP(Q28,$CH$31:$CI$52,2,0)*E28*P28),0)</f>
        <v>0</v>
      </c>
      <c r="BI28" s="141">
        <f t="shared" ref="BI28:BI93" si="34">IF(L28="água",(P28),0)</f>
        <v>0</v>
      </c>
      <c r="BJ28" s="147">
        <f t="shared" ref="BJ28:BJ91" si="35">IFERROR(VLOOKUP(I28,$CF$75:$CI$104,4,0),0)</f>
        <v>0</v>
      </c>
      <c r="BK28" s="141">
        <f t="shared" ref="BK28:BK91" si="36">IF(J28="BSTC",VLOOKUP(Q28,$CF$58:$CG$70,2,0)*P28,0)</f>
        <v>0</v>
      </c>
      <c r="BL28" s="141">
        <f t="shared" ref="BL28:BL91" si="37">IF(J28="BSTC",VLOOKUP(Q28,$CH$58:$CI$70,2,0)*P28,0)</f>
        <v>0</v>
      </c>
      <c r="BM28" s="141">
        <f t="shared" ref="BM28:BM91" si="38">IF(K28=$BM$27,P28*E28,0)</f>
        <v>0</v>
      </c>
      <c r="BN28" s="141">
        <f t="shared" ref="BN28:BN91" si="39">IF(K28=$BN$27,P28*E28,0)</f>
        <v>0</v>
      </c>
      <c r="BO28" s="141">
        <f t="shared" ref="BO28:BO91" si="40">IF(K28=$BO$27,P28*E28,0)</f>
        <v>0</v>
      </c>
      <c r="BP28" s="141">
        <f t="shared" ref="BP28:BP91" si="41">IF(K28=$BP$27,P28*E28,0)</f>
        <v>0</v>
      </c>
      <c r="BZ28" s="140"/>
      <c r="CA28" s="59"/>
      <c r="CB28" s="59"/>
      <c r="CC28" s="59"/>
    </row>
    <row r="29" spans="1:90" s="108" customFormat="1">
      <c r="B29" s="109"/>
      <c r="C29" s="141">
        <f t="shared" si="1"/>
        <v>600</v>
      </c>
      <c r="D29" s="141">
        <f t="shared" si="2"/>
        <v>0</v>
      </c>
      <c r="E29" s="141">
        <f>IFERROR(DGET($BV$30:$CC$82,F29,G28:G29),"")</f>
        <v>1.25</v>
      </c>
      <c r="F29" s="142" t="str">
        <f t="shared" ref="F29:F92" si="42">IF(AV29&gt;0,$AV$25,IF(AW29&gt;0,$AW$25,IF(AX29&gt;0,$AX$25,IF(AY29&gt;0,$AY$25,IF(AZ29&gt;0,$AZ$25,IF(AU29&gt;0,$AU$25,0))))))</f>
        <v>DESCONTÍNUO</v>
      </c>
      <c r="G29" s="142" t="str">
        <f>IF(Q29&gt;0,IF(AND(S29&gt;0,S29&lt;2),CONCATENATE(Q29," ","0-2"),IF(AND(S29&gt;=2,S29&lt;8),CONCATENATE(Q29," ","2-8"),)))</f>
        <v>600 0-2</v>
      </c>
      <c r="H29" s="80">
        <f t="shared" si="3"/>
        <v>0</v>
      </c>
      <c r="I29" s="80" t="str">
        <f t="shared" si="4"/>
        <v>BSTC600</v>
      </c>
      <c r="J29" s="76" t="s">
        <v>198</v>
      </c>
      <c r="K29" s="76" t="s">
        <v>177</v>
      </c>
      <c r="L29" s="76" t="s">
        <v>201</v>
      </c>
      <c r="M29" s="80"/>
      <c r="N29" s="79">
        <v>20</v>
      </c>
      <c r="O29" s="148">
        <v>5.9499999999999997E-2</v>
      </c>
      <c r="P29" s="77">
        <f t="shared" si="5"/>
        <v>20.035371221916503</v>
      </c>
      <c r="Q29" s="81">
        <v>600</v>
      </c>
      <c r="R29" s="77"/>
      <c r="S29" s="146">
        <f t="shared" si="6"/>
        <v>1.55</v>
      </c>
      <c r="T29" s="141" t="b">
        <f t="shared" ref="T29:T94" si="43">IF(R29&gt;0,IF(R29&gt;=1.5,R29-1.5,0))</f>
        <v>0</v>
      </c>
      <c r="U29" s="649">
        <f t="shared" si="7"/>
        <v>0</v>
      </c>
      <c r="V29" s="650"/>
      <c r="W29" s="649">
        <f t="shared" si="8"/>
        <v>0</v>
      </c>
      <c r="X29" s="650"/>
      <c r="Y29" s="649">
        <f t="shared" si="9"/>
        <v>0</v>
      </c>
      <c r="Z29" s="650"/>
      <c r="AA29" s="649">
        <f t="shared" si="10"/>
        <v>37.566321041093438</v>
      </c>
      <c r="AB29" s="650"/>
      <c r="AC29" s="649">
        <f t="shared" si="11"/>
        <v>1.2522107013697825</v>
      </c>
      <c r="AD29" s="650"/>
      <c r="AE29" s="649">
        <f t="shared" si="12"/>
        <v>0</v>
      </c>
      <c r="AF29" s="650"/>
      <c r="AG29" s="649">
        <f t="shared" si="13"/>
        <v>0</v>
      </c>
      <c r="AH29" s="650"/>
      <c r="AI29" s="649">
        <f t="shared" si="14"/>
        <v>0</v>
      </c>
      <c r="AJ29" s="650"/>
      <c r="AK29" s="649">
        <f t="shared" si="15"/>
        <v>0</v>
      </c>
      <c r="AL29" s="650"/>
      <c r="AM29" s="649">
        <f t="shared" si="16"/>
        <v>0</v>
      </c>
      <c r="AN29" s="650"/>
      <c r="AO29" s="649">
        <f t="shared" si="17"/>
        <v>0</v>
      </c>
      <c r="AP29" s="650"/>
      <c r="AQ29" s="649">
        <f t="shared" si="18"/>
        <v>0</v>
      </c>
      <c r="AR29" s="650"/>
      <c r="AS29" s="651">
        <f t="shared" si="19"/>
        <v>0</v>
      </c>
      <c r="AT29" s="652"/>
      <c r="AU29" s="141">
        <f t="shared" si="20"/>
        <v>0</v>
      </c>
      <c r="AV29" s="141">
        <f t="shared" si="21"/>
        <v>62.109650787941163</v>
      </c>
      <c r="AW29" s="141">
        <f t="shared" si="22"/>
        <v>0</v>
      </c>
      <c r="AX29" s="141">
        <f t="shared" si="23"/>
        <v>0</v>
      </c>
      <c r="AY29" s="141">
        <f t="shared" si="24"/>
        <v>0</v>
      </c>
      <c r="AZ29" s="141">
        <f t="shared" si="25"/>
        <v>0</v>
      </c>
      <c r="BA29" s="141">
        <f t="shared" si="26"/>
        <v>38.818531742463222</v>
      </c>
      <c r="BB29" s="141">
        <f t="shared" si="27"/>
        <v>28.144821183139545</v>
      </c>
      <c r="BC29" s="141">
        <f>IF(L29="ÁGUA",BA29,BA29-BB29)</f>
        <v>10.673710559323677</v>
      </c>
      <c r="BD29" s="141">
        <f t="shared" si="29"/>
        <v>0</v>
      </c>
      <c r="BE29" s="141">
        <f t="shared" si="30"/>
        <v>25.044214027395629</v>
      </c>
      <c r="BF29" s="141">
        <f t="shared" si="31"/>
        <v>0</v>
      </c>
      <c r="BG29" s="141">
        <f t="shared" si="32"/>
        <v>0</v>
      </c>
      <c r="BH29" s="141">
        <f t="shared" si="33"/>
        <v>0</v>
      </c>
      <c r="BI29" s="141">
        <f t="shared" si="34"/>
        <v>0</v>
      </c>
      <c r="BJ29" s="147">
        <f t="shared" si="35"/>
        <v>0</v>
      </c>
      <c r="BK29" s="141">
        <f t="shared" si="36"/>
        <v>5.0088428054791256</v>
      </c>
      <c r="BL29" s="141">
        <f t="shared" si="37"/>
        <v>13.223345006464893</v>
      </c>
      <c r="BM29" s="141">
        <f t="shared" si="38"/>
        <v>25.044214027395629</v>
      </c>
      <c r="BN29" s="141">
        <f t="shared" si="39"/>
        <v>0</v>
      </c>
      <c r="BO29" s="141">
        <f t="shared" si="40"/>
        <v>0</v>
      </c>
      <c r="BP29" s="141">
        <f t="shared" si="41"/>
        <v>0</v>
      </c>
      <c r="BT29" s="659" t="s">
        <v>181</v>
      </c>
      <c r="BU29" s="660"/>
      <c r="BV29" s="660"/>
      <c r="BW29" s="660"/>
      <c r="BX29" s="660"/>
      <c r="BY29" s="660"/>
      <c r="BZ29" s="660"/>
      <c r="CA29" s="660"/>
      <c r="CB29" s="660"/>
      <c r="CC29" s="661"/>
      <c r="CD29" s="149"/>
      <c r="CF29" s="655" t="s">
        <v>182</v>
      </c>
      <c r="CG29" s="657"/>
      <c r="CH29" s="655" t="s">
        <v>183</v>
      </c>
      <c r="CI29" s="657"/>
      <c r="CJ29" s="149"/>
      <c r="CK29" s="149"/>
      <c r="CL29" s="149"/>
    </row>
    <row r="30" spans="1:90" s="108" customFormat="1">
      <c r="B30" s="109"/>
      <c r="C30" s="141">
        <f t="shared" si="1"/>
        <v>600</v>
      </c>
      <c r="D30" s="141">
        <f t="shared" si="2"/>
        <v>1</v>
      </c>
      <c r="E30" s="141"/>
      <c r="F30" s="142">
        <f t="shared" si="42"/>
        <v>0</v>
      </c>
      <c r="G30" s="143" t="s">
        <v>146</v>
      </c>
      <c r="H30" s="80">
        <f t="shared" si="3"/>
        <v>0</v>
      </c>
      <c r="I30" s="80" t="str">
        <f t="shared" si="4"/>
        <v/>
      </c>
      <c r="J30" s="144"/>
      <c r="K30" s="144"/>
      <c r="L30" s="144"/>
      <c r="M30" s="76" t="s">
        <v>359</v>
      </c>
      <c r="N30" s="77"/>
      <c r="O30" s="145"/>
      <c r="P30" s="77">
        <f t="shared" si="5"/>
        <v>0</v>
      </c>
      <c r="Q30" s="78"/>
      <c r="R30" s="79">
        <v>1.6</v>
      </c>
      <c r="S30" s="146">
        <f t="shared" si="6"/>
        <v>0</v>
      </c>
      <c r="T30" s="141">
        <f t="shared" si="43"/>
        <v>0.10000000000000009</v>
      </c>
      <c r="U30" s="649">
        <f t="shared" si="7"/>
        <v>0</v>
      </c>
      <c r="V30" s="650"/>
      <c r="W30" s="649">
        <f t="shared" si="8"/>
        <v>0</v>
      </c>
      <c r="X30" s="650"/>
      <c r="Y30" s="649">
        <f t="shared" si="9"/>
        <v>0</v>
      </c>
      <c r="Z30" s="650"/>
      <c r="AA30" s="649">
        <f t="shared" si="10"/>
        <v>0</v>
      </c>
      <c r="AB30" s="650"/>
      <c r="AC30" s="649">
        <f t="shared" si="11"/>
        <v>0</v>
      </c>
      <c r="AD30" s="650"/>
      <c r="AE30" s="649">
        <f t="shared" si="12"/>
        <v>0</v>
      </c>
      <c r="AF30" s="650"/>
      <c r="AG30" s="649">
        <f t="shared" si="13"/>
        <v>0</v>
      </c>
      <c r="AH30" s="650"/>
      <c r="AI30" s="649">
        <f t="shared" si="14"/>
        <v>0</v>
      </c>
      <c r="AJ30" s="650"/>
      <c r="AK30" s="649">
        <f t="shared" si="15"/>
        <v>0</v>
      </c>
      <c r="AL30" s="650"/>
      <c r="AM30" s="649">
        <f t="shared" si="16"/>
        <v>0</v>
      </c>
      <c r="AN30" s="650"/>
      <c r="AO30" s="649">
        <f t="shared" si="17"/>
        <v>0</v>
      </c>
      <c r="AP30" s="650"/>
      <c r="AQ30" s="649">
        <f t="shared" si="18"/>
        <v>0</v>
      </c>
      <c r="AR30" s="650"/>
      <c r="AS30" s="651">
        <f t="shared" si="19"/>
        <v>0</v>
      </c>
      <c r="AT30" s="652"/>
      <c r="AU30" s="141">
        <f t="shared" si="20"/>
        <v>0</v>
      </c>
      <c r="AV30" s="141">
        <f t="shared" si="21"/>
        <v>0</v>
      </c>
      <c r="AW30" s="141">
        <f t="shared" si="22"/>
        <v>0</v>
      </c>
      <c r="AX30" s="141">
        <f t="shared" si="23"/>
        <v>0</v>
      </c>
      <c r="AY30" s="141">
        <f t="shared" si="24"/>
        <v>0</v>
      </c>
      <c r="AZ30" s="141">
        <f t="shared" si="25"/>
        <v>0</v>
      </c>
      <c r="BA30" s="141">
        <f t="shared" si="26"/>
        <v>0</v>
      </c>
      <c r="BB30" s="141">
        <f t="shared" si="27"/>
        <v>0</v>
      </c>
      <c r="BC30" s="141">
        <f t="shared" si="28"/>
        <v>0</v>
      </c>
      <c r="BD30" s="141">
        <f t="shared" si="29"/>
        <v>0</v>
      </c>
      <c r="BE30" s="141">
        <f t="shared" si="30"/>
        <v>0</v>
      </c>
      <c r="BF30" s="141">
        <f t="shared" si="31"/>
        <v>0</v>
      </c>
      <c r="BG30" s="141">
        <f t="shared" si="32"/>
        <v>0</v>
      </c>
      <c r="BH30" s="141">
        <f t="shared" si="33"/>
        <v>0</v>
      </c>
      <c r="BI30" s="141">
        <f t="shared" si="34"/>
        <v>0</v>
      </c>
      <c r="BJ30" s="147">
        <f t="shared" si="35"/>
        <v>0</v>
      </c>
      <c r="BK30" s="141">
        <f t="shared" si="36"/>
        <v>0</v>
      </c>
      <c r="BL30" s="141">
        <f t="shared" si="37"/>
        <v>0</v>
      </c>
      <c r="BM30" s="141">
        <f t="shared" si="38"/>
        <v>0</v>
      </c>
      <c r="BN30" s="141">
        <f t="shared" si="39"/>
        <v>0</v>
      </c>
      <c r="BO30" s="141">
        <f t="shared" si="40"/>
        <v>0</v>
      </c>
      <c r="BP30" s="141">
        <f t="shared" si="41"/>
        <v>0</v>
      </c>
      <c r="BT30" s="150" t="s">
        <v>27</v>
      </c>
      <c r="BU30" s="150" t="s">
        <v>74</v>
      </c>
      <c r="BV30" s="151" t="s">
        <v>146</v>
      </c>
      <c r="BW30" s="151" t="s">
        <v>184</v>
      </c>
      <c r="BX30" s="151" t="s">
        <v>185</v>
      </c>
      <c r="BY30" s="151" t="s">
        <v>186</v>
      </c>
      <c r="BZ30" s="151" t="s">
        <v>187</v>
      </c>
      <c r="CA30" s="152" t="s">
        <v>188</v>
      </c>
      <c r="CB30" s="152" t="s">
        <v>189</v>
      </c>
      <c r="CC30" s="152" t="s">
        <v>190</v>
      </c>
      <c r="CD30" s="109"/>
      <c r="CE30" s="149"/>
      <c r="CF30" s="151" t="s">
        <v>71</v>
      </c>
      <c r="CG30" s="151" t="s">
        <v>191</v>
      </c>
      <c r="CH30" s="151" t="s">
        <v>71</v>
      </c>
      <c r="CI30" s="151" t="s">
        <v>191</v>
      </c>
      <c r="CJ30" s="111"/>
      <c r="CK30" s="111"/>
      <c r="CL30" s="110"/>
    </row>
    <row r="31" spans="1:90" s="108" customFormat="1">
      <c r="B31" s="109"/>
      <c r="C31" s="141">
        <f t="shared" si="1"/>
        <v>600</v>
      </c>
      <c r="D31" s="141">
        <f t="shared" si="2"/>
        <v>0</v>
      </c>
      <c r="E31" s="141">
        <f>IFERROR(DGET($BV$30:$CC$82,F31,G30:G31),"")</f>
        <v>1.25</v>
      </c>
      <c r="F31" s="142" t="str">
        <f t="shared" si="42"/>
        <v>DESCONTÍNUO</v>
      </c>
      <c r="G31" s="142" t="str">
        <f>IF(Q31&gt;0,IF(AND(S31&gt;0,S31&lt;2),CONCATENATE(Q31," ","0-2"),IF(AND(S31&gt;=2,S31&lt;8),CONCATENATE(Q31," ","2-8"),)))</f>
        <v>600 0-2</v>
      </c>
      <c r="H31" s="80">
        <f t="shared" si="3"/>
        <v>0</v>
      </c>
      <c r="I31" s="80" t="str">
        <f t="shared" si="4"/>
        <v>BSTC600</v>
      </c>
      <c r="J31" s="76" t="s">
        <v>198</v>
      </c>
      <c r="K31" s="76" t="s">
        <v>177</v>
      </c>
      <c r="L31" s="76" t="s">
        <v>201</v>
      </c>
      <c r="M31" s="80"/>
      <c r="N31" s="79">
        <v>20</v>
      </c>
      <c r="O31" s="148">
        <v>0.14380000000000001</v>
      </c>
      <c r="P31" s="77">
        <f t="shared" si="5"/>
        <v>20.205726317061703</v>
      </c>
      <c r="Q31" s="81">
        <v>600</v>
      </c>
      <c r="R31" s="77"/>
      <c r="S31" s="146">
        <f t="shared" si="6"/>
        <v>1.5950000000000002</v>
      </c>
      <c r="T31" s="141" t="b">
        <f t="shared" si="43"/>
        <v>0</v>
      </c>
      <c r="U31" s="649">
        <f t="shared" si="7"/>
        <v>0</v>
      </c>
      <c r="V31" s="650"/>
      <c r="W31" s="649">
        <f t="shared" si="8"/>
        <v>0</v>
      </c>
      <c r="X31" s="650"/>
      <c r="Y31" s="649">
        <f t="shared" si="9"/>
        <v>0</v>
      </c>
      <c r="Z31" s="650"/>
      <c r="AA31" s="649">
        <f t="shared" si="10"/>
        <v>37.885736844490694</v>
      </c>
      <c r="AB31" s="650"/>
      <c r="AC31" s="649">
        <f t="shared" si="11"/>
        <v>2.399430000151082</v>
      </c>
      <c r="AD31" s="650"/>
      <c r="AE31" s="649">
        <f t="shared" si="12"/>
        <v>0</v>
      </c>
      <c r="AF31" s="650"/>
      <c r="AG31" s="649">
        <f t="shared" si="13"/>
        <v>0</v>
      </c>
      <c r="AH31" s="650"/>
      <c r="AI31" s="649">
        <f t="shared" si="14"/>
        <v>0</v>
      </c>
      <c r="AJ31" s="650"/>
      <c r="AK31" s="649">
        <f t="shared" si="15"/>
        <v>0</v>
      </c>
      <c r="AL31" s="650"/>
      <c r="AM31" s="649">
        <f t="shared" si="16"/>
        <v>0</v>
      </c>
      <c r="AN31" s="650"/>
      <c r="AO31" s="649">
        <f t="shared" si="17"/>
        <v>0</v>
      </c>
      <c r="AP31" s="650"/>
      <c r="AQ31" s="649">
        <f t="shared" si="18"/>
        <v>0</v>
      </c>
      <c r="AR31" s="650"/>
      <c r="AS31" s="651">
        <f t="shared" si="19"/>
        <v>0</v>
      </c>
      <c r="AT31" s="652"/>
      <c r="AU31" s="141">
        <f t="shared" si="20"/>
        <v>0</v>
      </c>
      <c r="AV31" s="141">
        <f t="shared" si="21"/>
        <v>64.456266951426841</v>
      </c>
      <c r="AW31" s="141">
        <f t="shared" si="22"/>
        <v>0</v>
      </c>
      <c r="AX31" s="141">
        <f t="shared" si="23"/>
        <v>0</v>
      </c>
      <c r="AY31" s="141">
        <f t="shared" si="24"/>
        <v>0</v>
      </c>
      <c r="AZ31" s="141">
        <f t="shared" si="25"/>
        <v>0</v>
      </c>
      <c r="BA31" s="141">
        <f t="shared" si="26"/>
        <v>40.285166844641779</v>
      </c>
      <c r="BB31" s="141">
        <f t="shared" si="27"/>
        <v>29.520700743144921</v>
      </c>
      <c r="BC31" s="141">
        <f t="shared" si="28"/>
        <v>10.764466101496858</v>
      </c>
      <c r="BD31" s="141">
        <f t="shared" si="29"/>
        <v>0</v>
      </c>
      <c r="BE31" s="141">
        <f t="shared" si="30"/>
        <v>25.257157896327129</v>
      </c>
      <c r="BF31" s="141">
        <f t="shared" si="31"/>
        <v>0</v>
      </c>
      <c r="BG31" s="141">
        <f t="shared" si="32"/>
        <v>0</v>
      </c>
      <c r="BH31" s="141">
        <f t="shared" si="33"/>
        <v>0</v>
      </c>
      <c r="BI31" s="141">
        <f t="shared" si="34"/>
        <v>0</v>
      </c>
      <c r="BJ31" s="147">
        <f t="shared" si="35"/>
        <v>0</v>
      </c>
      <c r="BK31" s="141">
        <f t="shared" si="36"/>
        <v>5.0514315792654259</v>
      </c>
      <c r="BL31" s="141">
        <f t="shared" si="37"/>
        <v>13.335779369260726</v>
      </c>
      <c r="BM31" s="141">
        <f t="shared" si="38"/>
        <v>25.257157896327129</v>
      </c>
      <c r="BN31" s="141">
        <f t="shared" si="39"/>
        <v>0</v>
      </c>
      <c r="BO31" s="141">
        <f t="shared" si="40"/>
        <v>0</v>
      </c>
      <c r="BP31" s="141">
        <f t="shared" si="41"/>
        <v>0</v>
      </c>
      <c r="BS31" s="153"/>
      <c r="BT31" s="154">
        <v>50</v>
      </c>
      <c r="BU31" s="155" t="s">
        <v>537</v>
      </c>
      <c r="BV31" s="156" t="s">
        <v>538</v>
      </c>
      <c r="BW31" s="157">
        <v>0.65</v>
      </c>
      <c r="BX31" s="158">
        <v>0.7</v>
      </c>
      <c r="BY31" s="157">
        <v>0.7</v>
      </c>
      <c r="BZ31" s="158">
        <v>0.8</v>
      </c>
      <c r="CA31" s="158">
        <v>1.3</v>
      </c>
      <c r="CB31" s="158">
        <v>1.3</v>
      </c>
      <c r="CC31" s="158">
        <v>1.3</v>
      </c>
      <c r="CD31" s="159"/>
      <c r="CE31" s="101"/>
      <c r="CF31" s="160">
        <v>100</v>
      </c>
      <c r="CG31" s="157">
        <v>0</v>
      </c>
      <c r="CH31" s="160">
        <v>100</v>
      </c>
      <c r="CI31" s="158">
        <v>0.1</v>
      </c>
      <c r="CJ31" s="161"/>
      <c r="CK31" s="162"/>
      <c r="CL31" s="110"/>
    </row>
    <row r="32" spans="1:90" s="108" customFormat="1">
      <c r="B32" s="109"/>
      <c r="C32" s="141">
        <f t="shared" si="1"/>
        <v>600</v>
      </c>
      <c r="D32" s="141">
        <f t="shared" si="2"/>
        <v>0</v>
      </c>
      <c r="E32" s="141"/>
      <c r="F32" s="142">
        <f t="shared" si="42"/>
        <v>0</v>
      </c>
      <c r="G32" s="143" t="s">
        <v>146</v>
      </c>
      <c r="H32" s="80">
        <f t="shared" si="3"/>
        <v>0</v>
      </c>
      <c r="I32" s="80" t="str">
        <f t="shared" si="4"/>
        <v/>
      </c>
      <c r="J32" s="144"/>
      <c r="K32" s="144"/>
      <c r="L32" s="144"/>
      <c r="M32" s="76" t="s">
        <v>360</v>
      </c>
      <c r="N32" s="77"/>
      <c r="O32" s="145"/>
      <c r="P32" s="77">
        <f t="shared" si="5"/>
        <v>0</v>
      </c>
      <c r="Q32" s="78"/>
      <c r="R32" s="79">
        <v>1.59</v>
      </c>
      <c r="S32" s="146">
        <f t="shared" si="6"/>
        <v>0</v>
      </c>
      <c r="T32" s="141">
        <f t="shared" si="43"/>
        <v>9.000000000000008E-2</v>
      </c>
      <c r="U32" s="649">
        <f t="shared" si="7"/>
        <v>0</v>
      </c>
      <c r="V32" s="650"/>
      <c r="W32" s="649">
        <f t="shared" si="8"/>
        <v>0</v>
      </c>
      <c r="X32" s="650"/>
      <c r="Y32" s="649">
        <f t="shared" si="9"/>
        <v>0</v>
      </c>
      <c r="Z32" s="650"/>
      <c r="AA32" s="649">
        <f t="shared" si="10"/>
        <v>0</v>
      </c>
      <c r="AB32" s="650"/>
      <c r="AC32" s="649">
        <f t="shared" si="11"/>
        <v>0</v>
      </c>
      <c r="AD32" s="650"/>
      <c r="AE32" s="649">
        <f t="shared" si="12"/>
        <v>0</v>
      </c>
      <c r="AF32" s="650"/>
      <c r="AG32" s="649">
        <f t="shared" si="13"/>
        <v>0</v>
      </c>
      <c r="AH32" s="650"/>
      <c r="AI32" s="649">
        <f t="shared" si="14"/>
        <v>0</v>
      </c>
      <c r="AJ32" s="650"/>
      <c r="AK32" s="649">
        <f t="shared" si="15"/>
        <v>0</v>
      </c>
      <c r="AL32" s="650"/>
      <c r="AM32" s="649">
        <f t="shared" si="16"/>
        <v>0</v>
      </c>
      <c r="AN32" s="650"/>
      <c r="AO32" s="649">
        <f t="shared" si="17"/>
        <v>0</v>
      </c>
      <c r="AP32" s="650"/>
      <c r="AQ32" s="649">
        <f t="shared" si="18"/>
        <v>0</v>
      </c>
      <c r="AR32" s="650"/>
      <c r="AS32" s="651">
        <f t="shared" si="19"/>
        <v>0</v>
      </c>
      <c r="AT32" s="652"/>
      <c r="AU32" s="141">
        <f t="shared" si="20"/>
        <v>0</v>
      </c>
      <c r="AV32" s="141">
        <f t="shared" si="21"/>
        <v>0</v>
      </c>
      <c r="AW32" s="141">
        <f t="shared" si="22"/>
        <v>0</v>
      </c>
      <c r="AX32" s="141">
        <f t="shared" si="23"/>
        <v>0</v>
      </c>
      <c r="AY32" s="141">
        <f t="shared" si="24"/>
        <v>0</v>
      </c>
      <c r="AZ32" s="141">
        <f t="shared" si="25"/>
        <v>0</v>
      </c>
      <c r="BA32" s="141">
        <f t="shared" si="26"/>
        <v>0</v>
      </c>
      <c r="BB32" s="141">
        <f t="shared" si="27"/>
        <v>0</v>
      </c>
      <c r="BC32" s="141">
        <f t="shared" si="28"/>
        <v>0</v>
      </c>
      <c r="BD32" s="141">
        <f t="shared" si="29"/>
        <v>0</v>
      </c>
      <c r="BE32" s="141">
        <f t="shared" si="30"/>
        <v>0</v>
      </c>
      <c r="BF32" s="141">
        <f t="shared" si="31"/>
        <v>0</v>
      </c>
      <c r="BG32" s="141">
        <f t="shared" si="32"/>
        <v>0</v>
      </c>
      <c r="BH32" s="141">
        <f t="shared" si="33"/>
        <v>0</v>
      </c>
      <c r="BI32" s="141">
        <f t="shared" si="34"/>
        <v>0</v>
      </c>
      <c r="BJ32" s="147">
        <f t="shared" si="35"/>
        <v>0</v>
      </c>
      <c r="BK32" s="141">
        <f t="shared" si="36"/>
        <v>0</v>
      </c>
      <c r="BL32" s="141">
        <f t="shared" si="37"/>
        <v>0</v>
      </c>
      <c r="BM32" s="141">
        <f t="shared" si="38"/>
        <v>0</v>
      </c>
      <c r="BN32" s="141">
        <f t="shared" si="39"/>
        <v>0</v>
      </c>
      <c r="BO32" s="141">
        <f t="shared" si="40"/>
        <v>0</v>
      </c>
      <c r="BP32" s="141">
        <f t="shared" si="41"/>
        <v>0</v>
      </c>
      <c r="BS32" s="153"/>
      <c r="BT32" s="154">
        <v>50</v>
      </c>
      <c r="BU32" s="155" t="s">
        <v>539</v>
      </c>
      <c r="BV32" s="156" t="s">
        <v>540</v>
      </c>
      <c r="BW32" s="157">
        <v>0.75</v>
      </c>
      <c r="BX32" s="158">
        <v>0.85</v>
      </c>
      <c r="BY32" s="157">
        <v>0.85</v>
      </c>
      <c r="BZ32" s="158">
        <v>0.95</v>
      </c>
      <c r="CA32" s="158">
        <v>1.3</v>
      </c>
      <c r="CB32" s="158">
        <v>1.3</v>
      </c>
      <c r="CC32" s="158">
        <v>1.3</v>
      </c>
      <c r="CD32" s="159"/>
      <c r="CE32" s="101"/>
      <c r="CF32" s="160">
        <v>150</v>
      </c>
      <c r="CG32" s="157">
        <v>0</v>
      </c>
      <c r="CH32" s="160">
        <v>150</v>
      </c>
      <c r="CI32" s="158">
        <v>0.1</v>
      </c>
      <c r="CJ32" s="161"/>
      <c r="CK32" s="162"/>
      <c r="CL32" s="110"/>
    </row>
    <row r="33" spans="2:90" s="108" customFormat="1">
      <c r="B33" s="109"/>
      <c r="C33" s="141" t="e">
        <f t="shared" si="1"/>
        <v>#NUM!</v>
      </c>
      <c r="D33" s="141">
        <f t="shared" si="2"/>
        <v>0</v>
      </c>
      <c r="E33" s="141" t="str">
        <f>IFERROR(DGET($BV$30:$CC$82,F33,G32:G33),"")</f>
        <v/>
      </c>
      <c r="F33" s="142">
        <f t="shared" si="42"/>
        <v>0</v>
      </c>
      <c r="G33" s="142" t="b">
        <f>IF(Q33&gt;0,IF(AND(S33&gt;0,S33&lt;2),CONCATENATE(Q33," ","0-2"),IF(AND(S33&gt;=2,S33&lt;8),CONCATENATE(Q33," ","2-8"),)))</f>
        <v>0</v>
      </c>
      <c r="H33" s="80">
        <f t="shared" si="3"/>
        <v>0</v>
      </c>
      <c r="I33" s="80" t="str">
        <f t="shared" si="4"/>
        <v/>
      </c>
      <c r="J33" s="76"/>
      <c r="K33" s="76"/>
      <c r="L33" s="76"/>
      <c r="M33" s="80"/>
      <c r="N33" s="79"/>
      <c r="O33" s="148"/>
      <c r="P33" s="77">
        <f t="shared" si="5"/>
        <v>0</v>
      </c>
      <c r="Q33" s="81"/>
      <c r="R33" s="77"/>
      <c r="S33" s="146">
        <f t="shared" si="6"/>
        <v>0</v>
      </c>
      <c r="T33" s="141" t="b">
        <f t="shared" si="43"/>
        <v>0</v>
      </c>
      <c r="U33" s="649">
        <f t="shared" si="7"/>
        <v>0</v>
      </c>
      <c r="V33" s="650"/>
      <c r="W33" s="649">
        <f t="shared" si="8"/>
        <v>0</v>
      </c>
      <c r="X33" s="650"/>
      <c r="Y33" s="649">
        <f t="shared" si="9"/>
        <v>0</v>
      </c>
      <c r="Z33" s="650"/>
      <c r="AA33" s="649">
        <f t="shared" si="10"/>
        <v>0</v>
      </c>
      <c r="AB33" s="650"/>
      <c r="AC33" s="649">
        <f t="shared" si="11"/>
        <v>0</v>
      </c>
      <c r="AD33" s="650"/>
      <c r="AE33" s="649">
        <f t="shared" si="12"/>
        <v>0</v>
      </c>
      <c r="AF33" s="650"/>
      <c r="AG33" s="649">
        <f t="shared" si="13"/>
        <v>0</v>
      </c>
      <c r="AH33" s="650"/>
      <c r="AI33" s="649">
        <f t="shared" si="14"/>
        <v>0</v>
      </c>
      <c r="AJ33" s="650"/>
      <c r="AK33" s="649">
        <f t="shared" si="15"/>
        <v>0</v>
      </c>
      <c r="AL33" s="650"/>
      <c r="AM33" s="649">
        <f t="shared" si="16"/>
        <v>0</v>
      </c>
      <c r="AN33" s="650"/>
      <c r="AO33" s="649">
        <f t="shared" si="17"/>
        <v>0</v>
      </c>
      <c r="AP33" s="650"/>
      <c r="AQ33" s="649">
        <f t="shared" si="18"/>
        <v>0</v>
      </c>
      <c r="AR33" s="650"/>
      <c r="AS33" s="651">
        <f t="shared" si="19"/>
        <v>0</v>
      </c>
      <c r="AT33" s="652"/>
      <c r="AU33" s="141">
        <f t="shared" si="20"/>
        <v>0</v>
      </c>
      <c r="AV33" s="141">
        <f t="shared" si="21"/>
        <v>0</v>
      </c>
      <c r="AW33" s="141">
        <f t="shared" si="22"/>
        <v>0</v>
      </c>
      <c r="AX33" s="141">
        <f t="shared" si="23"/>
        <v>0</v>
      </c>
      <c r="AY33" s="141">
        <f t="shared" si="24"/>
        <v>0</v>
      </c>
      <c r="AZ33" s="141">
        <f t="shared" si="25"/>
        <v>0</v>
      </c>
      <c r="BA33" s="141">
        <f t="shared" si="26"/>
        <v>0</v>
      </c>
      <c r="BB33" s="141">
        <f t="shared" si="27"/>
        <v>0</v>
      </c>
      <c r="BC33" s="141">
        <f t="shared" si="28"/>
        <v>0</v>
      </c>
      <c r="BD33" s="141">
        <f t="shared" si="29"/>
        <v>0</v>
      </c>
      <c r="BE33" s="141">
        <f t="shared" si="30"/>
        <v>0</v>
      </c>
      <c r="BF33" s="141">
        <f t="shared" si="31"/>
        <v>0</v>
      </c>
      <c r="BG33" s="141">
        <f t="shared" si="32"/>
        <v>0</v>
      </c>
      <c r="BH33" s="141">
        <f t="shared" si="33"/>
        <v>0</v>
      </c>
      <c r="BI33" s="141">
        <f t="shared" si="34"/>
        <v>0</v>
      </c>
      <c r="BJ33" s="147">
        <f t="shared" si="35"/>
        <v>0</v>
      </c>
      <c r="BK33" s="141">
        <f t="shared" si="36"/>
        <v>0</v>
      </c>
      <c r="BL33" s="141">
        <f t="shared" si="37"/>
        <v>0</v>
      </c>
      <c r="BM33" s="141">
        <f t="shared" si="38"/>
        <v>0</v>
      </c>
      <c r="BN33" s="141">
        <f t="shared" si="39"/>
        <v>0</v>
      </c>
      <c r="BO33" s="141">
        <f t="shared" si="40"/>
        <v>0</v>
      </c>
      <c r="BP33" s="141">
        <f t="shared" si="41"/>
        <v>0</v>
      </c>
      <c r="BS33" s="153"/>
      <c r="BT33" s="154">
        <v>75</v>
      </c>
      <c r="BU33" s="155" t="s">
        <v>537</v>
      </c>
      <c r="BV33" s="156" t="s">
        <v>541</v>
      </c>
      <c r="BW33" s="157">
        <v>0.65</v>
      </c>
      <c r="BX33" s="158">
        <v>0.7</v>
      </c>
      <c r="BY33" s="157">
        <v>0.7</v>
      </c>
      <c r="BZ33" s="158">
        <v>0.8</v>
      </c>
      <c r="CA33" s="158">
        <v>1.3</v>
      </c>
      <c r="CB33" s="158">
        <v>1.3</v>
      </c>
      <c r="CC33" s="158">
        <v>1.3</v>
      </c>
      <c r="CD33" s="159"/>
      <c r="CE33" s="101"/>
      <c r="CF33" s="160">
        <v>200</v>
      </c>
      <c r="CG33" s="157">
        <v>0</v>
      </c>
      <c r="CH33" s="160">
        <v>200</v>
      </c>
      <c r="CI33" s="158">
        <v>0.1</v>
      </c>
      <c r="CJ33" s="161"/>
      <c r="CK33" s="162"/>
      <c r="CL33" s="110"/>
    </row>
    <row r="34" spans="2:90" s="108" customFormat="1" ht="15" customHeight="1">
      <c r="B34" s="109"/>
      <c r="C34" s="141">
        <f t="shared" si="1"/>
        <v>600</v>
      </c>
      <c r="D34" s="141">
        <f t="shared" si="2"/>
        <v>1</v>
      </c>
      <c r="E34" s="141"/>
      <c r="F34" s="142">
        <f t="shared" si="42"/>
        <v>0</v>
      </c>
      <c r="G34" s="143" t="s">
        <v>146</v>
      </c>
      <c r="H34" s="80">
        <f t="shared" si="3"/>
        <v>0</v>
      </c>
      <c r="I34" s="80" t="str">
        <f t="shared" si="4"/>
        <v/>
      </c>
      <c r="J34" s="144"/>
      <c r="K34" s="144"/>
      <c r="L34" s="144"/>
      <c r="M34" s="76" t="s">
        <v>361</v>
      </c>
      <c r="N34" s="77"/>
      <c r="O34" s="145"/>
      <c r="P34" s="77">
        <f t="shared" si="5"/>
        <v>0</v>
      </c>
      <c r="Q34" s="78"/>
      <c r="R34" s="79">
        <v>1.49</v>
      </c>
      <c r="S34" s="146">
        <f t="shared" si="6"/>
        <v>0</v>
      </c>
      <c r="T34" s="141">
        <f t="shared" si="43"/>
        <v>0</v>
      </c>
      <c r="U34" s="649">
        <f t="shared" si="7"/>
        <v>0</v>
      </c>
      <c r="V34" s="650"/>
      <c r="W34" s="649">
        <f t="shared" si="8"/>
        <v>0</v>
      </c>
      <c r="X34" s="650"/>
      <c r="Y34" s="649">
        <f t="shared" si="9"/>
        <v>0</v>
      </c>
      <c r="Z34" s="650"/>
      <c r="AA34" s="649">
        <f t="shared" si="10"/>
        <v>0</v>
      </c>
      <c r="AB34" s="650"/>
      <c r="AC34" s="649">
        <f t="shared" si="11"/>
        <v>0</v>
      </c>
      <c r="AD34" s="650"/>
      <c r="AE34" s="649">
        <f t="shared" si="12"/>
        <v>0</v>
      </c>
      <c r="AF34" s="650"/>
      <c r="AG34" s="649">
        <f t="shared" si="13"/>
        <v>0</v>
      </c>
      <c r="AH34" s="650"/>
      <c r="AI34" s="649">
        <f t="shared" si="14"/>
        <v>0</v>
      </c>
      <c r="AJ34" s="650"/>
      <c r="AK34" s="649">
        <f t="shared" si="15"/>
        <v>0</v>
      </c>
      <c r="AL34" s="650"/>
      <c r="AM34" s="649">
        <f t="shared" si="16"/>
        <v>0</v>
      </c>
      <c r="AN34" s="650"/>
      <c r="AO34" s="649">
        <f t="shared" si="17"/>
        <v>0</v>
      </c>
      <c r="AP34" s="650"/>
      <c r="AQ34" s="649">
        <f t="shared" si="18"/>
        <v>0</v>
      </c>
      <c r="AR34" s="650"/>
      <c r="AS34" s="651">
        <f t="shared" si="19"/>
        <v>0</v>
      </c>
      <c r="AT34" s="652"/>
      <c r="AU34" s="141">
        <f t="shared" si="20"/>
        <v>0</v>
      </c>
      <c r="AV34" s="141">
        <f t="shared" si="21"/>
        <v>0</v>
      </c>
      <c r="AW34" s="141">
        <f t="shared" si="22"/>
        <v>0</v>
      </c>
      <c r="AX34" s="141">
        <f t="shared" si="23"/>
        <v>0</v>
      </c>
      <c r="AY34" s="141">
        <f t="shared" si="24"/>
        <v>0</v>
      </c>
      <c r="AZ34" s="141">
        <f t="shared" si="25"/>
        <v>0</v>
      </c>
      <c r="BA34" s="141">
        <f t="shared" si="26"/>
        <v>0</v>
      </c>
      <c r="BB34" s="141">
        <f t="shared" si="27"/>
        <v>0</v>
      </c>
      <c r="BC34" s="141">
        <f t="shared" si="28"/>
        <v>0</v>
      </c>
      <c r="BD34" s="141">
        <f t="shared" si="29"/>
        <v>0</v>
      </c>
      <c r="BE34" s="141">
        <f t="shared" si="30"/>
        <v>0</v>
      </c>
      <c r="BF34" s="141">
        <f t="shared" si="31"/>
        <v>0</v>
      </c>
      <c r="BG34" s="141">
        <f t="shared" si="32"/>
        <v>0</v>
      </c>
      <c r="BH34" s="141">
        <f t="shared" si="33"/>
        <v>0</v>
      </c>
      <c r="BI34" s="141">
        <f t="shared" si="34"/>
        <v>0</v>
      </c>
      <c r="BJ34" s="147">
        <f t="shared" si="35"/>
        <v>0</v>
      </c>
      <c r="BK34" s="141">
        <f t="shared" si="36"/>
        <v>0</v>
      </c>
      <c r="BL34" s="141">
        <f t="shared" si="37"/>
        <v>0</v>
      </c>
      <c r="BM34" s="141">
        <f t="shared" si="38"/>
        <v>0</v>
      </c>
      <c r="BN34" s="141">
        <f t="shared" si="39"/>
        <v>0</v>
      </c>
      <c r="BO34" s="141">
        <f t="shared" si="40"/>
        <v>0</v>
      </c>
      <c r="BP34" s="141">
        <f t="shared" si="41"/>
        <v>0</v>
      </c>
      <c r="BS34" s="153"/>
      <c r="BT34" s="154">
        <v>75</v>
      </c>
      <c r="BU34" s="155" t="s">
        <v>539</v>
      </c>
      <c r="BV34" s="156" t="s">
        <v>542</v>
      </c>
      <c r="BW34" s="157">
        <v>0.75</v>
      </c>
      <c r="BX34" s="158">
        <v>0.85</v>
      </c>
      <c r="BY34" s="157">
        <v>0.85</v>
      </c>
      <c r="BZ34" s="158">
        <v>0.95</v>
      </c>
      <c r="CA34" s="158">
        <v>1.3</v>
      </c>
      <c r="CB34" s="158">
        <v>1.3</v>
      </c>
      <c r="CC34" s="158">
        <v>1.3</v>
      </c>
      <c r="CD34" s="159"/>
      <c r="CE34" s="101"/>
      <c r="CF34" s="160">
        <v>250</v>
      </c>
      <c r="CG34" s="157">
        <v>0</v>
      </c>
      <c r="CH34" s="160">
        <v>250</v>
      </c>
      <c r="CI34" s="158">
        <v>0.1</v>
      </c>
      <c r="CJ34" s="161"/>
      <c r="CK34" s="162"/>
      <c r="CL34" s="110"/>
    </row>
    <row r="35" spans="2:90" s="108" customFormat="1">
      <c r="B35" s="109"/>
      <c r="C35" s="141">
        <f t="shared" si="1"/>
        <v>600</v>
      </c>
      <c r="D35" s="141">
        <f t="shared" si="2"/>
        <v>0</v>
      </c>
      <c r="E35" s="141">
        <f>IFERROR(DGET($BV$30:$CC$82,F35,G34:G35),"")</f>
        <v>1.25</v>
      </c>
      <c r="F35" s="142" t="str">
        <f t="shared" si="42"/>
        <v>DESCONTÍNUO</v>
      </c>
      <c r="G35" s="142" t="str">
        <f>IF(Q35&gt;0,IF(AND(S35&gt;0,S35&lt;2),CONCATENATE(Q35," ","0-2"),IF(AND(S35&gt;=2,S35&lt;8),CONCATENATE(Q35," ","2-8"),)))</f>
        <v>600 0-2</v>
      </c>
      <c r="H35" s="80">
        <f t="shared" si="3"/>
        <v>0</v>
      </c>
      <c r="I35" s="80" t="str">
        <f t="shared" si="4"/>
        <v>BSTC600</v>
      </c>
      <c r="J35" s="76" t="s">
        <v>198</v>
      </c>
      <c r="K35" s="76" t="s">
        <v>177</v>
      </c>
      <c r="L35" s="76" t="s">
        <v>201</v>
      </c>
      <c r="M35" s="80"/>
      <c r="N35" s="79">
        <v>17</v>
      </c>
      <c r="O35" s="148">
        <v>4.4299999999999999E-2</v>
      </c>
      <c r="P35" s="77">
        <f t="shared" si="5"/>
        <v>17.016672988865949</v>
      </c>
      <c r="Q35" s="81">
        <v>600</v>
      </c>
      <c r="R35" s="77"/>
      <c r="S35" s="146">
        <f t="shared" si="6"/>
        <v>1.54</v>
      </c>
      <c r="T35" s="141" t="b">
        <f t="shared" si="43"/>
        <v>0</v>
      </c>
      <c r="U35" s="649">
        <f t="shared" si="7"/>
        <v>0</v>
      </c>
      <c r="V35" s="650"/>
      <c r="W35" s="649">
        <f t="shared" si="8"/>
        <v>0</v>
      </c>
      <c r="X35" s="650"/>
      <c r="Y35" s="649">
        <f t="shared" si="9"/>
        <v>0</v>
      </c>
      <c r="Z35" s="650"/>
      <c r="AA35" s="649">
        <f t="shared" si="10"/>
        <v>31.906261854123656</v>
      </c>
      <c r="AB35" s="650"/>
      <c r="AC35" s="649">
        <f t="shared" si="11"/>
        <v>0.8508336494432982</v>
      </c>
      <c r="AD35" s="650"/>
      <c r="AE35" s="649">
        <f t="shared" si="12"/>
        <v>0</v>
      </c>
      <c r="AF35" s="650"/>
      <c r="AG35" s="649">
        <f t="shared" si="13"/>
        <v>0</v>
      </c>
      <c r="AH35" s="650"/>
      <c r="AI35" s="649">
        <f t="shared" si="14"/>
        <v>0</v>
      </c>
      <c r="AJ35" s="650"/>
      <c r="AK35" s="649">
        <f t="shared" si="15"/>
        <v>0</v>
      </c>
      <c r="AL35" s="650"/>
      <c r="AM35" s="649">
        <f t="shared" si="16"/>
        <v>0</v>
      </c>
      <c r="AN35" s="650"/>
      <c r="AO35" s="649">
        <f t="shared" si="17"/>
        <v>0</v>
      </c>
      <c r="AP35" s="650"/>
      <c r="AQ35" s="649">
        <f t="shared" si="18"/>
        <v>0</v>
      </c>
      <c r="AR35" s="650"/>
      <c r="AS35" s="651">
        <f t="shared" si="19"/>
        <v>0</v>
      </c>
      <c r="AT35" s="652"/>
      <c r="AU35" s="141">
        <f t="shared" si="20"/>
        <v>0</v>
      </c>
      <c r="AV35" s="141">
        <f t="shared" si="21"/>
        <v>52.411352805707125</v>
      </c>
      <c r="AW35" s="141">
        <f t="shared" si="22"/>
        <v>0</v>
      </c>
      <c r="AX35" s="141">
        <f t="shared" si="23"/>
        <v>0</v>
      </c>
      <c r="AY35" s="141">
        <f t="shared" si="24"/>
        <v>0</v>
      </c>
      <c r="AZ35" s="141">
        <f t="shared" si="25"/>
        <v>0</v>
      </c>
      <c r="BA35" s="141">
        <f t="shared" si="26"/>
        <v>32.757095503566951</v>
      </c>
      <c r="BB35" s="141">
        <f t="shared" si="27"/>
        <v>23.691576319817962</v>
      </c>
      <c r="BC35" s="141">
        <f t="shared" si="28"/>
        <v>9.0655191837489895</v>
      </c>
      <c r="BD35" s="141">
        <f t="shared" si="29"/>
        <v>0</v>
      </c>
      <c r="BE35" s="141">
        <f t="shared" si="30"/>
        <v>21.270841236082436</v>
      </c>
      <c r="BF35" s="141">
        <f t="shared" si="31"/>
        <v>0</v>
      </c>
      <c r="BG35" s="141">
        <f t="shared" si="32"/>
        <v>0</v>
      </c>
      <c r="BH35" s="141">
        <f t="shared" si="33"/>
        <v>0</v>
      </c>
      <c r="BI35" s="141">
        <f t="shared" si="34"/>
        <v>0</v>
      </c>
      <c r="BJ35" s="147">
        <f t="shared" si="35"/>
        <v>0</v>
      </c>
      <c r="BK35" s="141">
        <f t="shared" si="36"/>
        <v>4.2541682472164872</v>
      </c>
      <c r="BL35" s="141">
        <f t="shared" si="37"/>
        <v>11.231004172651527</v>
      </c>
      <c r="BM35" s="141">
        <f t="shared" si="38"/>
        <v>21.270841236082436</v>
      </c>
      <c r="BN35" s="141">
        <f t="shared" si="39"/>
        <v>0</v>
      </c>
      <c r="BO35" s="141">
        <f t="shared" si="40"/>
        <v>0</v>
      </c>
      <c r="BP35" s="141">
        <f t="shared" si="41"/>
        <v>0</v>
      </c>
      <c r="BS35" s="153"/>
      <c r="BT35" s="154">
        <v>100</v>
      </c>
      <c r="BU35" s="155" t="s">
        <v>537</v>
      </c>
      <c r="BV35" s="156" t="s">
        <v>543</v>
      </c>
      <c r="BW35" s="157">
        <v>0.65</v>
      </c>
      <c r="BX35" s="158">
        <v>0.7</v>
      </c>
      <c r="BY35" s="157">
        <v>0.7</v>
      </c>
      <c r="BZ35" s="158">
        <v>0.8</v>
      </c>
      <c r="CA35" s="158">
        <v>1.3</v>
      </c>
      <c r="CB35" s="158">
        <v>1.3</v>
      </c>
      <c r="CC35" s="158">
        <v>1.3</v>
      </c>
      <c r="CD35" s="159"/>
      <c r="CE35" s="101"/>
      <c r="CF35" s="160">
        <v>300</v>
      </c>
      <c r="CG35" s="157">
        <v>0</v>
      </c>
      <c r="CH35" s="160">
        <v>300</v>
      </c>
      <c r="CI35" s="158">
        <v>0.1</v>
      </c>
      <c r="CJ35" s="161"/>
      <c r="CK35" s="162"/>
      <c r="CL35" s="110"/>
    </row>
    <row r="36" spans="2:90" s="108" customFormat="1">
      <c r="B36" s="109"/>
      <c r="C36" s="141">
        <f t="shared" si="1"/>
        <v>600</v>
      </c>
      <c r="D36" s="141">
        <f t="shared" si="2"/>
        <v>0</v>
      </c>
      <c r="E36" s="141"/>
      <c r="F36" s="142">
        <f t="shared" si="42"/>
        <v>0</v>
      </c>
      <c r="G36" s="143" t="s">
        <v>146</v>
      </c>
      <c r="H36" s="80">
        <f t="shared" si="3"/>
        <v>0</v>
      </c>
      <c r="I36" s="80" t="str">
        <f t="shared" si="4"/>
        <v/>
      </c>
      <c r="J36" s="144"/>
      <c r="K36" s="144"/>
      <c r="L36" s="144"/>
      <c r="M36" s="76" t="s">
        <v>360</v>
      </c>
      <c r="N36" s="77"/>
      <c r="O36" s="145"/>
      <c r="P36" s="77">
        <f t="shared" si="5"/>
        <v>0</v>
      </c>
      <c r="Q36" s="78"/>
      <c r="R36" s="79">
        <v>1.59</v>
      </c>
      <c r="S36" s="146">
        <f t="shared" si="6"/>
        <v>0</v>
      </c>
      <c r="T36" s="141">
        <f t="shared" si="43"/>
        <v>9.000000000000008E-2</v>
      </c>
      <c r="U36" s="649">
        <f t="shared" si="7"/>
        <v>0</v>
      </c>
      <c r="V36" s="650"/>
      <c r="W36" s="649">
        <f t="shared" si="8"/>
        <v>0</v>
      </c>
      <c r="X36" s="650"/>
      <c r="Y36" s="649">
        <f t="shared" si="9"/>
        <v>0</v>
      </c>
      <c r="Z36" s="650"/>
      <c r="AA36" s="649">
        <f t="shared" si="10"/>
        <v>0</v>
      </c>
      <c r="AB36" s="650"/>
      <c r="AC36" s="649">
        <f t="shared" si="11"/>
        <v>0</v>
      </c>
      <c r="AD36" s="650"/>
      <c r="AE36" s="649">
        <f t="shared" si="12"/>
        <v>0</v>
      </c>
      <c r="AF36" s="650"/>
      <c r="AG36" s="649">
        <f t="shared" si="13"/>
        <v>0</v>
      </c>
      <c r="AH36" s="650"/>
      <c r="AI36" s="649">
        <f t="shared" si="14"/>
        <v>0</v>
      </c>
      <c r="AJ36" s="650"/>
      <c r="AK36" s="649">
        <f t="shared" si="15"/>
        <v>0</v>
      </c>
      <c r="AL36" s="650"/>
      <c r="AM36" s="649">
        <f t="shared" si="16"/>
        <v>0</v>
      </c>
      <c r="AN36" s="650"/>
      <c r="AO36" s="649">
        <f t="shared" si="17"/>
        <v>0</v>
      </c>
      <c r="AP36" s="650"/>
      <c r="AQ36" s="649">
        <f t="shared" si="18"/>
        <v>0</v>
      </c>
      <c r="AR36" s="650"/>
      <c r="AS36" s="651">
        <f t="shared" si="19"/>
        <v>0</v>
      </c>
      <c r="AT36" s="652"/>
      <c r="AU36" s="141">
        <f t="shared" si="20"/>
        <v>0</v>
      </c>
      <c r="AV36" s="141">
        <f t="shared" si="21"/>
        <v>0</v>
      </c>
      <c r="AW36" s="141">
        <f t="shared" si="22"/>
        <v>0</v>
      </c>
      <c r="AX36" s="141">
        <f t="shared" si="23"/>
        <v>0</v>
      </c>
      <c r="AY36" s="141">
        <f t="shared" si="24"/>
        <v>0</v>
      </c>
      <c r="AZ36" s="141">
        <f t="shared" si="25"/>
        <v>0</v>
      </c>
      <c r="BA36" s="141">
        <f t="shared" si="26"/>
        <v>0</v>
      </c>
      <c r="BB36" s="141">
        <f t="shared" si="27"/>
        <v>0</v>
      </c>
      <c r="BC36" s="141">
        <f t="shared" si="28"/>
        <v>0</v>
      </c>
      <c r="BD36" s="141">
        <f t="shared" si="29"/>
        <v>0</v>
      </c>
      <c r="BE36" s="141">
        <f t="shared" si="30"/>
        <v>0</v>
      </c>
      <c r="BF36" s="141">
        <f t="shared" si="31"/>
        <v>0</v>
      </c>
      <c r="BG36" s="141">
        <f t="shared" si="32"/>
        <v>0</v>
      </c>
      <c r="BH36" s="141">
        <f t="shared" si="33"/>
        <v>0</v>
      </c>
      <c r="BI36" s="141">
        <f t="shared" si="34"/>
        <v>0</v>
      </c>
      <c r="BJ36" s="147">
        <f t="shared" si="35"/>
        <v>0</v>
      </c>
      <c r="BK36" s="141">
        <f t="shared" si="36"/>
        <v>0</v>
      </c>
      <c r="BL36" s="141">
        <f t="shared" si="37"/>
        <v>0</v>
      </c>
      <c r="BM36" s="141">
        <f t="shared" si="38"/>
        <v>0</v>
      </c>
      <c r="BN36" s="141">
        <f t="shared" si="39"/>
        <v>0</v>
      </c>
      <c r="BO36" s="141">
        <f t="shared" si="40"/>
        <v>0</v>
      </c>
      <c r="BP36" s="141">
        <f t="shared" si="41"/>
        <v>0</v>
      </c>
      <c r="BS36" s="153"/>
      <c r="BT36" s="154">
        <v>100</v>
      </c>
      <c r="BU36" s="155" t="s">
        <v>539</v>
      </c>
      <c r="BV36" s="156" t="s">
        <v>544</v>
      </c>
      <c r="BW36" s="157">
        <v>0.75</v>
      </c>
      <c r="BX36" s="158">
        <v>0.85</v>
      </c>
      <c r="BY36" s="157">
        <v>0.85</v>
      </c>
      <c r="BZ36" s="158">
        <v>0.95</v>
      </c>
      <c r="CA36" s="158">
        <v>1.3</v>
      </c>
      <c r="CB36" s="158">
        <v>1.3</v>
      </c>
      <c r="CC36" s="158">
        <v>1.3</v>
      </c>
      <c r="CD36" s="159"/>
      <c r="CE36" s="101"/>
      <c r="CF36" s="160">
        <v>350</v>
      </c>
      <c r="CG36" s="157">
        <v>0</v>
      </c>
      <c r="CH36" s="160">
        <v>350</v>
      </c>
      <c r="CI36" s="158">
        <v>0.1</v>
      </c>
      <c r="CJ36" s="161"/>
      <c r="CK36" s="162"/>
      <c r="CL36" s="110"/>
    </row>
    <row r="37" spans="2:90" s="108" customFormat="1">
      <c r="B37" s="109"/>
      <c r="C37" s="141">
        <f t="shared" si="1"/>
        <v>600</v>
      </c>
      <c r="D37" s="141">
        <f t="shared" si="2"/>
        <v>0</v>
      </c>
      <c r="E37" s="141">
        <f>IFERROR(DGET($BV$30:$CC$82,F37,G36:G37),"")</f>
        <v>1.45</v>
      </c>
      <c r="F37" s="142" t="str">
        <f t="shared" si="42"/>
        <v>DESCONTÍNUO</v>
      </c>
      <c r="G37" s="142" t="str">
        <f>IF(Q37&gt;0,IF(AND(S37&gt;0,S37&lt;2),CONCATENATE(Q37," ","0-2"),IF(AND(S37&gt;=2,S37&lt;8),CONCATENATE(Q37," ","2-8"),)))</f>
        <v>600 2-8</v>
      </c>
      <c r="H37" s="80">
        <f t="shared" si="3"/>
        <v>0</v>
      </c>
      <c r="I37" s="80" t="str">
        <f t="shared" si="4"/>
        <v>BSTC600</v>
      </c>
      <c r="J37" s="76" t="s">
        <v>198</v>
      </c>
      <c r="K37" s="76" t="s">
        <v>177</v>
      </c>
      <c r="L37" s="76" t="s">
        <v>201</v>
      </c>
      <c r="M37" s="80"/>
      <c r="N37" s="79">
        <v>60</v>
      </c>
      <c r="O37" s="148">
        <v>0.13919999999999999</v>
      </c>
      <c r="P37" s="77">
        <f t="shared" si="5"/>
        <v>60.578510249097413</v>
      </c>
      <c r="Q37" s="81">
        <v>600</v>
      </c>
      <c r="R37" s="77"/>
      <c r="S37" s="146">
        <f t="shared" si="6"/>
        <v>2.44</v>
      </c>
      <c r="T37" s="141" t="b">
        <f t="shared" si="43"/>
        <v>0</v>
      </c>
      <c r="U37" s="649">
        <f t="shared" si="7"/>
        <v>0</v>
      </c>
      <c r="V37" s="650"/>
      <c r="W37" s="649">
        <f t="shared" si="8"/>
        <v>0</v>
      </c>
      <c r="X37" s="650"/>
      <c r="Y37" s="649">
        <f t="shared" si="9"/>
        <v>0</v>
      </c>
      <c r="Z37" s="650"/>
      <c r="AA37" s="649">
        <f t="shared" si="10"/>
        <v>131.75825979178688</v>
      </c>
      <c r="AB37" s="650"/>
      <c r="AC37" s="649">
        <f t="shared" si="11"/>
        <v>82.568509469519768</v>
      </c>
      <c r="AD37" s="650"/>
      <c r="AE37" s="649">
        <f t="shared" si="12"/>
        <v>0</v>
      </c>
      <c r="AF37" s="650"/>
      <c r="AG37" s="649">
        <f t="shared" si="13"/>
        <v>0</v>
      </c>
      <c r="AH37" s="650"/>
      <c r="AI37" s="649">
        <f t="shared" si="14"/>
        <v>0</v>
      </c>
      <c r="AJ37" s="650"/>
      <c r="AK37" s="649">
        <f t="shared" si="15"/>
        <v>0</v>
      </c>
      <c r="AL37" s="650"/>
      <c r="AM37" s="649">
        <f t="shared" si="16"/>
        <v>0</v>
      </c>
      <c r="AN37" s="650"/>
      <c r="AO37" s="649">
        <f t="shared" si="17"/>
        <v>0</v>
      </c>
      <c r="AP37" s="650"/>
      <c r="AQ37" s="649">
        <f t="shared" si="18"/>
        <v>0</v>
      </c>
      <c r="AR37" s="650"/>
      <c r="AS37" s="651">
        <f t="shared" si="19"/>
        <v>0</v>
      </c>
      <c r="AT37" s="652"/>
      <c r="AU37" s="141">
        <f t="shared" si="20"/>
        <v>0</v>
      </c>
      <c r="AV37" s="141">
        <f t="shared" si="21"/>
        <v>295.62313001559539</v>
      </c>
      <c r="AW37" s="141">
        <f t="shared" si="22"/>
        <v>0</v>
      </c>
      <c r="AX37" s="141">
        <f t="shared" si="23"/>
        <v>0</v>
      </c>
      <c r="AY37" s="141">
        <f t="shared" si="24"/>
        <v>0</v>
      </c>
      <c r="AZ37" s="141">
        <f t="shared" si="25"/>
        <v>0</v>
      </c>
      <c r="BA37" s="141">
        <f t="shared" si="26"/>
        <v>214.32676926130665</v>
      </c>
      <c r="BB37" s="141">
        <f t="shared" si="27"/>
        <v>182.05397145027425</v>
      </c>
      <c r="BC37" s="141">
        <f t="shared" si="28"/>
        <v>32.272797811032405</v>
      </c>
      <c r="BD37" s="141">
        <f t="shared" si="29"/>
        <v>0</v>
      </c>
      <c r="BE37" s="141">
        <f t="shared" si="30"/>
        <v>87.838839861191246</v>
      </c>
      <c r="BF37" s="141">
        <f t="shared" si="31"/>
        <v>0</v>
      </c>
      <c r="BG37" s="141">
        <f t="shared" si="32"/>
        <v>0</v>
      </c>
      <c r="BH37" s="141">
        <f t="shared" si="33"/>
        <v>0</v>
      </c>
      <c r="BI37" s="141">
        <f t="shared" si="34"/>
        <v>0</v>
      </c>
      <c r="BJ37" s="147">
        <f t="shared" si="35"/>
        <v>0</v>
      </c>
      <c r="BK37" s="141">
        <f t="shared" si="36"/>
        <v>15.144627562274353</v>
      </c>
      <c r="BL37" s="141">
        <f t="shared" si="37"/>
        <v>39.981816764404293</v>
      </c>
      <c r="BM37" s="141">
        <f t="shared" si="38"/>
        <v>87.838839861191246</v>
      </c>
      <c r="BN37" s="141">
        <f t="shared" si="39"/>
        <v>0</v>
      </c>
      <c r="BO37" s="141">
        <f t="shared" si="40"/>
        <v>0</v>
      </c>
      <c r="BP37" s="141">
        <f t="shared" si="41"/>
        <v>0</v>
      </c>
      <c r="BS37" s="153"/>
      <c r="BT37" s="154">
        <v>150</v>
      </c>
      <c r="BU37" s="155" t="s">
        <v>537</v>
      </c>
      <c r="BV37" s="156" t="s">
        <v>545</v>
      </c>
      <c r="BW37" s="157">
        <v>0.65</v>
      </c>
      <c r="BX37" s="158">
        <v>0.7</v>
      </c>
      <c r="BY37" s="157">
        <v>0.7</v>
      </c>
      <c r="BZ37" s="158">
        <v>0.8</v>
      </c>
      <c r="CA37" s="158">
        <v>1.3</v>
      </c>
      <c r="CB37" s="158">
        <v>1.3</v>
      </c>
      <c r="CC37" s="158">
        <v>1.3</v>
      </c>
      <c r="CD37" s="159"/>
      <c r="CE37" s="101"/>
      <c r="CF37" s="160">
        <v>400</v>
      </c>
      <c r="CG37" s="157">
        <v>0</v>
      </c>
      <c r="CH37" s="160">
        <v>400</v>
      </c>
      <c r="CI37" s="158">
        <v>0.1</v>
      </c>
      <c r="CJ37" s="161"/>
      <c r="CK37" s="162"/>
      <c r="CL37" s="110"/>
    </row>
    <row r="38" spans="2:90" s="108" customFormat="1">
      <c r="B38" s="109"/>
      <c r="C38" s="141">
        <f t="shared" si="1"/>
        <v>600</v>
      </c>
      <c r="D38" s="141">
        <f t="shared" si="2"/>
        <v>1</v>
      </c>
      <c r="E38" s="141"/>
      <c r="F38" s="142">
        <f t="shared" si="42"/>
        <v>0</v>
      </c>
      <c r="G38" s="143" t="s">
        <v>146</v>
      </c>
      <c r="H38" s="80">
        <f t="shared" si="3"/>
        <v>0</v>
      </c>
      <c r="I38" s="80" t="str">
        <f t="shared" si="4"/>
        <v/>
      </c>
      <c r="J38" s="144"/>
      <c r="K38" s="144"/>
      <c r="L38" s="144"/>
      <c r="M38" s="76" t="s">
        <v>362</v>
      </c>
      <c r="N38" s="77"/>
      <c r="O38" s="145"/>
      <c r="P38" s="77">
        <f t="shared" si="5"/>
        <v>0</v>
      </c>
      <c r="Q38" s="78"/>
      <c r="R38" s="79">
        <v>3.29</v>
      </c>
      <c r="S38" s="146">
        <f t="shared" si="6"/>
        <v>0</v>
      </c>
      <c r="T38" s="141">
        <f t="shared" si="43"/>
        <v>1.79</v>
      </c>
      <c r="U38" s="649">
        <f t="shared" si="7"/>
        <v>0</v>
      </c>
      <c r="V38" s="650"/>
      <c r="W38" s="649">
        <f t="shared" si="8"/>
        <v>0</v>
      </c>
      <c r="X38" s="650"/>
      <c r="Y38" s="649">
        <f t="shared" si="9"/>
        <v>0</v>
      </c>
      <c r="Z38" s="650"/>
      <c r="AA38" s="649">
        <f t="shared" si="10"/>
        <v>0</v>
      </c>
      <c r="AB38" s="650"/>
      <c r="AC38" s="649">
        <f t="shared" si="11"/>
        <v>0</v>
      </c>
      <c r="AD38" s="650"/>
      <c r="AE38" s="649">
        <f t="shared" si="12"/>
        <v>0</v>
      </c>
      <c r="AF38" s="650"/>
      <c r="AG38" s="649">
        <f t="shared" si="13"/>
        <v>0</v>
      </c>
      <c r="AH38" s="650"/>
      <c r="AI38" s="649">
        <f t="shared" si="14"/>
        <v>0</v>
      </c>
      <c r="AJ38" s="650"/>
      <c r="AK38" s="649">
        <f t="shared" si="15"/>
        <v>0</v>
      </c>
      <c r="AL38" s="650"/>
      <c r="AM38" s="649">
        <f t="shared" si="16"/>
        <v>0</v>
      </c>
      <c r="AN38" s="650"/>
      <c r="AO38" s="649">
        <f t="shared" si="17"/>
        <v>0</v>
      </c>
      <c r="AP38" s="650"/>
      <c r="AQ38" s="649">
        <f t="shared" si="18"/>
        <v>0</v>
      </c>
      <c r="AR38" s="650"/>
      <c r="AS38" s="651">
        <f t="shared" si="19"/>
        <v>0</v>
      </c>
      <c r="AT38" s="652"/>
      <c r="AU38" s="141">
        <f t="shared" si="20"/>
        <v>0</v>
      </c>
      <c r="AV38" s="141">
        <f t="shared" si="21"/>
        <v>0</v>
      </c>
      <c r="AW38" s="141">
        <f t="shared" si="22"/>
        <v>0</v>
      </c>
      <c r="AX38" s="141">
        <f t="shared" si="23"/>
        <v>0</v>
      </c>
      <c r="AY38" s="141">
        <f t="shared" si="24"/>
        <v>0</v>
      </c>
      <c r="AZ38" s="141">
        <f t="shared" si="25"/>
        <v>0</v>
      </c>
      <c r="BA38" s="141">
        <f t="shared" si="26"/>
        <v>0</v>
      </c>
      <c r="BB38" s="141">
        <f t="shared" si="27"/>
        <v>0</v>
      </c>
      <c r="BC38" s="141">
        <f t="shared" si="28"/>
        <v>0</v>
      </c>
      <c r="BD38" s="141">
        <f t="shared" si="29"/>
        <v>0</v>
      </c>
      <c r="BE38" s="141">
        <f t="shared" si="30"/>
        <v>0</v>
      </c>
      <c r="BF38" s="141">
        <f t="shared" si="31"/>
        <v>0</v>
      </c>
      <c r="BG38" s="141">
        <f t="shared" si="32"/>
        <v>0</v>
      </c>
      <c r="BH38" s="141">
        <f t="shared" si="33"/>
        <v>0</v>
      </c>
      <c r="BI38" s="141">
        <f t="shared" si="34"/>
        <v>0</v>
      </c>
      <c r="BJ38" s="147">
        <f t="shared" si="35"/>
        <v>0</v>
      </c>
      <c r="BK38" s="141">
        <f t="shared" si="36"/>
        <v>0</v>
      </c>
      <c r="BL38" s="141">
        <f t="shared" si="37"/>
        <v>0</v>
      </c>
      <c r="BM38" s="141">
        <f t="shared" si="38"/>
        <v>0</v>
      </c>
      <c r="BN38" s="141">
        <f t="shared" si="39"/>
        <v>0</v>
      </c>
      <c r="BO38" s="141">
        <f t="shared" si="40"/>
        <v>0</v>
      </c>
      <c r="BP38" s="141">
        <f t="shared" si="41"/>
        <v>0</v>
      </c>
      <c r="BS38" s="153"/>
      <c r="BT38" s="154">
        <v>150</v>
      </c>
      <c r="BU38" s="155" t="s">
        <v>539</v>
      </c>
      <c r="BV38" s="156" t="s">
        <v>546</v>
      </c>
      <c r="BW38" s="157">
        <v>0.75</v>
      </c>
      <c r="BX38" s="158">
        <v>0.85</v>
      </c>
      <c r="BY38" s="157">
        <v>0.85</v>
      </c>
      <c r="BZ38" s="158">
        <v>0.95</v>
      </c>
      <c r="CA38" s="158">
        <v>1.3</v>
      </c>
      <c r="CB38" s="158">
        <v>1.3</v>
      </c>
      <c r="CC38" s="158">
        <v>1.3</v>
      </c>
      <c r="CD38" s="159"/>
      <c r="CE38" s="163"/>
      <c r="CF38" s="160">
        <v>500</v>
      </c>
      <c r="CG38" s="157">
        <v>0</v>
      </c>
      <c r="CH38" s="160">
        <v>500</v>
      </c>
      <c r="CI38" s="158">
        <v>0.1</v>
      </c>
      <c r="CJ38" s="161"/>
      <c r="CK38" s="164"/>
      <c r="CL38" s="110"/>
    </row>
    <row r="39" spans="2:90" s="108" customFormat="1">
      <c r="B39" s="109"/>
      <c r="C39" s="141">
        <f t="shared" si="1"/>
        <v>600</v>
      </c>
      <c r="D39" s="141">
        <f t="shared" si="2"/>
        <v>0</v>
      </c>
      <c r="E39" s="141">
        <f>IFERROR(DGET($BV$30:$CC$82,F39,G38:G39),"")</f>
        <v>1.45</v>
      </c>
      <c r="F39" s="142" t="str">
        <f t="shared" si="42"/>
        <v>DESCONTÍNUO</v>
      </c>
      <c r="G39" s="142" t="str">
        <f>IF(Q39&gt;0,IF(AND(S39&gt;0,S39&lt;2),CONCATENATE(Q39," ","0-2"),IF(AND(S39&gt;=2,S39&lt;8),CONCATENATE(Q39," ","2-8"),)))</f>
        <v>600 2-8</v>
      </c>
      <c r="H39" s="80">
        <f t="shared" si="3"/>
        <v>0</v>
      </c>
      <c r="I39" s="80" t="str">
        <f t="shared" si="4"/>
        <v>BSTC600</v>
      </c>
      <c r="J39" s="76" t="s">
        <v>198</v>
      </c>
      <c r="K39" s="76" t="s">
        <v>177</v>
      </c>
      <c r="L39" s="76" t="s">
        <v>201</v>
      </c>
      <c r="M39" s="80"/>
      <c r="N39" s="79">
        <v>50</v>
      </c>
      <c r="O39" s="148">
        <v>5.11E-2</v>
      </c>
      <c r="P39" s="77">
        <f t="shared" si="5"/>
        <v>50.065237690437463</v>
      </c>
      <c r="Q39" s="81">
        <v>600</v>
      </c>
      <c r="R39" s="77"/>
      <c r="S39" s="146">
        <f t="shared" si="6"/>
        <v>2.3650000000000002</v>
      </c>
      <c r="T39" s="141" t="b">
        <f t="shared" si="43"/>
        <v>0</v>
      </c>
      <c r="U39" s="649">
        <f t="shared" si="7"/>
        <v>0</v>
      </c>
      <c r="V39" s="650"/>
      <c r="W39" s="649">
        <f t="shared" si="8"/>
        <v>0</v>
      </c>
      <c r="X39" s="650"/>
      <c r="Y39" s="649">
        <f t="shared" si="9"/>
        <v>0</v>
      </c>
      <c r="Z39" s="650"/>
      <c r="AA39" s="649">
        <f t="shared" si="10"/>
        <v>108.89189197670147</v>
      </c>
      <c r="AB39" s="650"/>
      <c r="AC39" s="649">
        <f t="shared" si="11"/>
        <v>62.794324373231206</v>
      </c>
      <c r="AD39" s="650"/>
      <c r="AE39" s="649">
        <f t="shared" si="12"/>
        <v>0</v>
      </c>
      <c r="AF39" s="650"/>
      <c r="AG39" s="649">
        <f t="shared" si="13"/>
        <v>0</v>
      </c>
      <c r="AH39" s="650"/>
      <c r="AI39" s="649">
        <f t="shared" si="14"/>
        <v>0</v>
      </c>
      <c r="AJ39" s="650"/>
      <c r="AK39" s="649">
        <f t="shared" si="15"/>
        <v>0</v>
      </c>
      <c r="AL39" s="650"/>
      <c r="AM39" s="649">
        <f t="shared" si="16"/>
        <v>0</v>
      </c>
      <c r="AN39" s="650"/>
      <c r="AO39" s="649">
        <f t="shared" si="17"/>
        <v>0</v>
      </c>
      <c r="AP39" s="650"/>
      <c r="AQ39" s="649">
        <f t="shared" si="18"/>
        <v>0</v>
      </c>
      <c r="AR39" s="650"/>
      <c r="AS39" s="651">
        <f t="shared" si="19"/>
        <v>0</v>
      </c>
      <c r="AT39" s="652"/>
      <c r="AU39" s="141">
        <f t="shared" si="20"/>
        <v>0</v>
      </c>
      <c r="AV39" s="141">
        <f t="shared" si="21"/>
        <v>236.80857427576922</v>
      </c>
      <c r="AW39" s="141">
        <f t="shared" si="22"/>
        <v>0</v>
      </c>
      <c r="AX39" s="141">
        <f t="shared" si="23"/>
        <v>0</v>
      </c>
      <c r="AY39" s="141">
        <f t="shared" si="24"/>
        <v>0</v>
      </c>
      <c r="AZ39" s="141">
        <f t="shared" si="25"/>
        <v>0</v>
      </c>
      <c r="BA39" s="141">
        <f t="shared" si="26"/>
        <v>171.68621634993269</v>
      </c>
      <c r="BB39" s="141">
        <f t="shared" si="27"/>
        <v>145.01429446375786</v>
      </c>
      <c r="BC39" s="141">
        <f t="shared" si="28"/>
        <v>26.671921886174829</v>
      </c>
      <c r="BD39" s="141">
        <f t="shared" si="29"/>
        <v>0</v>
      </c>
      <c r="BE39" s="141">
        <f t="shared" si="30"/>
        <v>72.594594651134315</v>
      </c>
      <c r="BF39" s="141">
        <f t="shared" si="31"/>
        <v>0</v>
      </c>
      <c r="BG39" s="141">
        <f t="shared" si="32"/>
        <v>0</v>
      </c>
      <c r="BH39" s="141">
        <f t="shared" si="33"/>
        <v>0</v>
      </c>
      <c r="BI39" s="141">
        <f t="shared" si="34"/>
        <v>0</v>
      </c>
      <c r="BJ39" s="147">
        <f t="shared" si="35"/>
        <v>0</v>
      </c>
      <c r="BK39" s="141">
        <f t="shared" si="36"/>
        <v>12.516309422609366</v>
      </c>
      <c r="BL39" s="141">
        <f t="shared" si="37"/>
        <v>33.043056875688727</v>
      </c>
      <c r="BM39" s="141">
        <f t="shared" si="38"/>
        <v>72.594594651134315</v>
      </c>
      <c r="BN39" s="141">
        <f t="shared" si="39"/>
        <v>0</v>
      </c>
      <c r="BO39" s="141">
        <f t="shared" si="40"/>
        <v>0</v>
      </c>
      <c r="BP39" s="141">
        <f t="shared" si="41"/>
        <v>0</v>
      </c>
      <c r="BS39" s="153"/>
      <c r="BT39" s="154">
        <v>200</v>
      </c>
      <c r="BU39" s="155" t="s">
        <v>537</v>
      </c>
      <c r="BV39" s="156" t="s">
        <v>547</v>
      </c>
      <c r="BW39" s="157">
        <v>0.7</v>
      </c>
      <c r="BX39" s="158">
        <v>0.75</v>
      </c>
      <c r="BY39" s="157">
        <v>0.75</v>
      </c>
      <c r="BZ39" s="158">
        <v>0.85</v>
      </c>
      <c r="CA39" s="158">
        <v>1.35</v>
      </c>
      <c r="CB39" s="158">
        <v>1.35</v>
      </c>
      <c r="CC39" s="158">
        <v>1.35</v>
      </c>
      <c r="CD39" s="159"/>
      <c r="CE39" s="163"/>
      <c r="CF39" s="160">
        <v>600</v>
      </c>
      <c r="CG39" s="157">
        <v>0.3</v>
      </c>
      <c r="CH39" s="160">
        <v>600</v>
      </c>
      <c r="CI39" s="158">
        <v>0.1</v>
      </c>
      <c r="CJ39" s="161"/>
      <c r="CK39" s="164"/>
      <c r="CL39" s="110"/>
    </row>
    <row r="40" spans="2:90" s="108" customFormat="1">
      <c r="B40" s="109"/>
      <c r="C40" s="141">
        <f t="shared" si="1"/>
        <v>600</v>
      </c>
      <c r="D40" s="141">
        <f t="shared" si="2"/>
        <v>1</v>
      </c>
      <c r="E40" s="141"/>
      <c r="F40" s="142">
        <f t="shared" si="42"/>
        <v>0</v>
      </c>
      <c r="G40" s="143" t="s">
        <v>146</v>
      </c>
      <c r="H40" s="80">
        <f t="shared" si="3"/>
        <v>0</v>
      </c>
      <c r="I40" s="80" t="str">
        <f t="shared" si="4"/>
        <v/>
      </c>
      <c r="J40" s="144"/>
      <c r="K40" s="144"/>
      <c r="L40" s="144"/>
      <c r="M40" s="76" t="s">
        <v>363</v>
      </c>
      <c r="N40" s="77"/>
      <c r="O40" s="145"/>
      <c r="P40" s="77">
        <f t="shared" si="5"/>
        <v>0</v>
      </c>
      <c r="Q40" s="78"/>
      <c r="R40" s="79">
        <v>1.44</v>
      </c>
      <c r="S40" s="146">
        <f t="shared" si="6"/>
        <v>0</v>
      </c>
      <c r="T40" s="141">
        <f t="shared" si="43"/>
        <v>0</v>
      </c>
      <c r="U40" s="649">
        <f t="shared" si="7"/>
        <v>0</v>
      </c>
      <c r="V40" s="650"/>
      <c r="W40" s="649">
        <f t="shared" si="8"/>
        <v>0</v>
      </c>
      <c r="X40" s="650"/>
      <c r="Y40" s="649">
        <f t="shared" si="9"/>
        <v>0</v>
      </c>
      <c r="Z40" s="650"/>
      <c r="AA40" s="649">
        <f t="shared" si="10"/>
        <v>0</v>
      </c>
      <c r="AB40" s="650"/>
      <c r="AC40" s="649">
        <f t="shared" si="11"/>
        <v>0</v>
      </c>
      <c r="AD40" s="650"/>
      <c r="AE40" s="649">
        <f t="shared" si="12"/>
        <v>0</v>
      </c>
      <c r="AF40" s="650"/>
      <c r="AG40" s="649">
        <f t="shared" si="13"/>
        <v>0</v>
      </c>
      <c r="AH40" s="650"/>
      <c r="AI40" s="649">
        <f t="shared" si="14"/>
        <v>0</v>
      </c>
      <c r="AJ40" s="650"/>
      <c r="AK40" s="649">
        <f t="shared" si="15"/>
        <v>0</v>
      </c>
      <c r="AL40" s="650"/>
      <c r="AM40" s="649">
        <f t="shared" si="16"/>
        <v>0</v>
      </c>
      <c r="AN40" s="650"/>
      <c r="AO40" s="649">
        <f t="shared" si="17"/>
        <v>0</v>
      </c>
      <c r="AP40" s="650"/>
      <c r="AQ40" s="649">
        <f t="shared" si="18"/>
        <v>0</v>
      </c>
      <c r="AR40" s="650"/>
      <c r="AS40" s="651">
        <f t="shared" si="19"/>
        <v>0</v>
      </c>
      <c r="AT40" s="652"/>
      <c r="AU40" s="141">
        <f t="shared" si="20"/>
        <v>0</v>
      </c>
      <c r="AV40" s="141">
        <f t="shared" si="21"/>
        <v>0</v>
      </c>
      <c r="AW40" s="141">
        <f t="shared" si="22"/>
        <v>0</v>
      </c>
      <c r="AX40" s="141">
        <f t="shared" si="23"/>
        <v>0</v>
      </c>
      <c r="AY40" s="141">
        <f t="shared" si="24"/>
        <v>0</v>
      </c>
      <c r="AZ40" s="141">
        <f t="shared" si="25"/>
        <v>0</v>
      </c>
      <c r="BA40" s="141">
        <f t="shared" si="26"/>
        <v>0</v>
      </c>
      <c r="BB40" s="141">
        <f t="shared" si="27"/>
        <v>0</v>
      </c>
      <c r="BC40" s="141">
        <f t="shared" si="28"/>
        <v>0</v>
      </c>
      <c r="BD40" s="141">
        <f t="shared" si="29"/>
        <v>0</v>
      </c>
      <c r="BE40" s="141">
        <f t="shared" si="30"/>
        <v>0</v>
      </c>
      <c r="BF40" s="141">
        <f t="shared" si="31"/>
        <v>0</v>
      </c>
      <c r="BG40" s="141">
        <f t="shared" si="32"/>
        <v>0</v>
      </c>
      <c r="BH40" s="141">
        <f t="shared" si="33"/>
        <v>0</v>
      </c>
      <c r="BI40" s="141">
        <f t="shared" si="34"/>
        <v>0</v>
      </c>
      <c r="BJ40" s="147">
        <f t="shared" si="35"/>
        <v>0</v>
      </c>
      <c r="BK40" s="141">
        <f t="shared" si="36"/>
        <v>0</v>
      </c>
      <c r="BL40" s="141">
        <f t="shared" si="37"/>
        <v>0</v>
      </c>
      <c r="BM40" s="141">
        <f t="shared" si="38"/>
        <v>0</v>
      </c>
      <c r="BN40" s="141">
        <f t="shared" si="39"/>
        <v>0</v>
      </c>
      <c r="BO40" s="141">
        <f t="shared" si="40"/>
        <v>0</v>
      </c>
      <c r="BP40" s="141">
        <f t="shared" si="41"/>
        <v>0</v>
      </c>
      <c r="BS40" s="153"/>
      <c r="BT40" s="154">
        <v>200</v>
      </c>
      <c r="BU40" s="155" t="s">
        <v>539</v>
      </c>
      <c r="BV40" s="156" t="s">
        <v>548</v>
      </c>
      <c r="BW40" s="157">
        <v>0.8</v>
      </c>
      <c r="BX40" s="158">
        <v>0.9</v>
      </c>
      <c r="BY40" s="157">
        <v>0.9</v>
      </c>
      <c r="BZ40" s="158">
        <v>1</v>
      </c>
      <c r="CA40" s="158">
        <v>1.35</v>
      </c>
      <c r="CB40" s="158">
        <v>1.35</v>
      </c>
      <c r="CC40" s="158">
        <v>1.35</v>
      </c>
      <c r="CD40" s="159"/>
      <c r="CE40" s="163"/>
      <c r="CF40" s="160">
        <v>700</v>
      </c>
      <c r="CG40" s="157">
        <v>0.3</v>
      </c>
      <c r="CH40" s="160">
        <v>700</v>
      </c>
      <c r="CI40" s="158">
        <v>0.1</v>
      </c>
      <c r="CJ40" s="161"/>
      <c r="CK40" s="164"/>
      <c r="CL40" s="110"/>
    </row>
    <row r="41" spans="2:90" s="108" customFormat="1">
      <c r="B41" s="109"/>
      <c r="C41" s="141">
        <f t="shared" si="1"/>
        <v>600</v>
      </c>
      <c r="D41" s="141">
        <f t="shared" si="2"/>
        <v>0</v>
      </c>
      <c r="E41" s="141">
        <f>IFERROR(DGET($BV$30:$CC$82,F41,G40:G41),"")</f>
        <v>1.85</v>
      </c>
      <c r="F41" s="142" t="str">
        <f t="shared" si="42"/>
        <v>PRANCHÃO DE MADEIRA</v>
      </c>
      <c r="G41" s="142" t="str">
        <f>IF(Q41&gt;0,IF(AND(S41&gt;0,S41&lt;2),CONCATENATE(Q41," ","0-2"),IF(AND(S41&gt;=2,S41&lt;8),CONCATENATE(Q41," ","2-8"),)))</f>
        <v>600 2-8</v>
      </c>
      <c r="H41" s="80">
        <f t="shared" si="3"/>
        <v>0</v>
      </c>
      <c r="I41" s="80" t="str">
        <f t="shared" si="4"/>
        <v>BSTC600</v>
      </c>
      <c r="J41" s="76" t="s">
        <v>198</v>
      </c>
      <c r="K41" s="76" t="s">
        <v>177</v>
      </c>
      <c r="L41" s="76" t="s">
        <v>202</v>
      </c>
      <c r="M41" s="80"/>
      <c r="N41" s="79">
        <v>30</v>
      </c>
      <c r="O41" s="148">
        <v>6.9800000000000001E-2</v>
      </c>
      <c r="P41" s="77">
        <f t="shared" si="5"/>
        <v>30.072991803277571</v>
      </c>
      <c r="Q41" s="81">
        <v>600</v>
      </c>
      <c r="R41" s="77"/>
      <c r="S41" s="146">
        <f t="shared" si="6"/>
        <v>2.3699999999999997</v>
      </c>
      <c r="T41" s="141" t="b">
        <f t="shared" si="43"/>
        <v>0</v>
      </c>
      <c r="U41" s="649">
        <f t="shared" si="7"/>
        <v>0</v>
      </c>
      <c r="V41" s="650"/>
      <c r="W41" s="649">
        <f t="shared" si="8"/>
        <v>0</v>
      </c>
      <c r="X41" s="650"/>
      <c r="Y41" s="649">
        <f t="shared" si="9"/>
        <v>0</v>
      </c>
      <c r="Z41" s="650"/>
      <c r="AA41" s="649">
        <f t="shared" si="10"/>
        <v>0</v>
      </c>
      <c r="AB41" s="650"/>
      <c r="AC41" s="649">
        <f t="shared" si="11"/>
        <v>0</v>
      </c>
      <c r="AD41" s="650"/>
      <c r="AE41" s="649">
        <f t="shared" si="12"/>
        <v>0</v>
      </c>
      <c r="AF41" s="650"/>
      <c r="AG41" s="649">
        <f t="shared" si="13"/>
        <v>0</v>
      </c>
      <c r="AH41" s="650"/>
      <c r="AI41" s="649">
        <f t="shared" si="14"/>
        <v>0</v>
      </c>
      <c r="AJ41" s="650"/>
      <c r="AK41" s="649">
        <f t="shared" si="15"/>
        <v>0</v>
      </c>
      <c r="AL41" s="650"/>
      <c r="AM41" s="649">
        <f t="shared" si="16"/>
        <v>83.452552254095266</v>
      </c>
      <c r="AN41" s="650"/>
      <c r="AO41" s="649">
        <f t="shared" si="17"/>
        <v>48.402480307375235</v>
      </c>
      <c r="AP41" s="650"/>
      <c r="AQ41" s="649">
        <f t="shared" si="18"/>
        <v>0</v>
      </c>
      <c r="AR41" s="650"/>
      <c r="AS41" s="651">
        <f t="shared" si="19"/>
        <v>0</v>
      </c>
      <c r="AT41" s="652"/>
      <c r="AU41" s="141">
        <f t="shared" si="20"/>
        <v>0</v>
      </c>
      <c r="AV41" s="141">
        <f t="shared" si="21"/>
        <v>0</v>
      </c>
      <c r="AW41" s="141">
        <f t="shared" si="22"/>
        <v>0</v>
      </c>
      <c r="AX41" s="141">
        <f t="shared" si="23"/>
        <v>142.54598114753566</v>
      </c>
      <c r="AY41" s="141">
        <f t="shared" si="24"/>
        <v>0</v>
      </c>
      <c r="AZ41" s="141">
        <f t="shared" si="25"/>
        <v>0</v>
      </c>
      <c r="BA41" s="141">
        <f t="shared" si="26"/>
        <v>131.85503256147049</v>
      </c>
      <c r="BB41" s="141">
        <f t="shared" si="27"/>
        <v>93.579832565367838</v>
      </c>
      <c r="BC41" s="141">
        <f t="shared" si="28"/>
        <v>131.85503256147049</v>
      </c>
      <c r="BD41" s="141">
        <f t="shared" si="29"/>
        <v>93.579832565367838</v>
      </c>
      <c r="BE41" s="141">
        <f t="shared" si="30"/>
        <v>55.635034836063511</v>
      </c>
      <c r="BF41" s="141">
        <f t="shared" si="31"/>
        <v>0</v>
      </c>
      <c r="BG41" s="141">
        <f t="shared" si="32"/>
        <v>16.690510450819055</v>
      </c>
      <c r="BH41" s="141">
        <f t="shared" si="33"/>
        <v>5.5635034836063513</v>
      </c>
      <c r="BI41" s="141">
        <f t="shared" si="34"/>
        <v>30.072991803277571</v>
      </c>
      <c r="BJ41" s="147">
        <f t="shared" si="35"/>
        <v>0</v>
      </c>
      <c r="BK41" s="141">
        <f t="shared" si="36"/>
        <v>7.5182479508193927</v>
      </c>
      <c r="BL41" s="141">
        <f t="shared" si="37"/>
        <v>19.848174590163197</v>
      </c>
      <c r="BM41" s="141">
        <f t="shared" si="38"/>
        <v>55.635034836063511</v>
      </c>
      <c r="BN41" s="141">
        <f t="shared" si="39"/>
        <v>0</v>
      </c>
      <c r="BO41" s="141">
        <f t="shared" si="40"/>
        <v>0</v>
      </c>
      <c r="BP41" s="141">
        <f t="shared" si="41"/>
        <v>0</v>
      </c>
      <c r="BS41" s="153"/>
      <c r="BT41" s="154">
        <v>250</v>
      </c>
      <c r="BU41" s="155" t="s">
        <v>537</v>
      </c>
      <c r="BV41" s="156" t="s">
        <v>549</v>
      </c>
      <c r="BW41" s="157">
        <v>0.75</v>
      </c>
      <c r="BX41" s="158">
        <v>0.8</v>
      </c>
      <c r="BY41" s="157">
        <v>0.8</v>
      </c>
      <c r="BZ41" s="158">
        <v>0.9</v>
      </c>
      <c r="CA41" s="158">
        <v>1.4</v>
      </c>
      <c r="CB41" s="158">
        <v>1.4</v>
      </c>
      <c r="CC41" s="158">
        <v>1.4</v>
      </c>
      <c r="CD41" s="159"/>
      <c r="CE41" s="101"/>
      <c r="CF41" s="160">
        <v>800</v>
      </c>
      <c r="CG41" s="157">
        <v>0.3</v>
      </c>
      <c r="CH41" s="160">
        <v>800</v>
      </c>
      <c r="CI41" s="158">
        <v>0.1</v>
      </c>
      <c r="CJ41" s="161"/>
      <c r="CK41" s="162"/>
      <c r="CL41" s="110"/>
    </row>
    <row r="42" spans="2:90" s="108" customFormat="1">
      <c r="B42" s="109"/>
      <c r="C42" s="141">
        <f t="shared" si="1"/>
        <v>600</v>
      </c>
      <c r="D42" s="141">
        <f t="shared" si="2"/>
        <v>0</v>
      </c>
      <c r="E42" s="141"/>
      <c r="F42" s="142">
        <f t="shared" si="42"/>
        <v>0</v>
      </c>
      <c r="G42" s="143" t="s">
        <v>146</v>
      </c>
      <c r="H42" s="80">
        <f t="shared" si="3"/>
        <v>0</v>
      </c>
      <c r="I42" s="80" t="str">
        <f t="shared" si="4"/>
        <v/>
      </c>
      <c r="J42" s="144"/>
      <c r="K42" s="144"/>
      <c r="L42" s="144"/>
      <c r="M42" s="76" t="s">
        <v>364</v>
      </c>
      <c r="N42" s="77"/>
      <c r="O42" s="145"/>
      <c r="P42" s="77">
        <f t="shared" si="5"/>
        <v>0</v>
      </c>
      <c r="Q42" s="78"/>
      <c r="R42" s="79">
        <v>2.5</v>
      </c>
      <c r="S42" s="146">
        <f t="shared" si="6"/>
        <v>0</v>
      </c>
      <c r="T42" s="141">
        <f t="shared" si="43"/>
        <v>1</v>
      </c>
      <c r="U42" s="649">
        <f t="shared" si="7"/>
        <v>0</v>
      </c>
      <c r="V42" s="650"/>
      <c r="W42" s="649">
        <f t="shared" si="8"/>
        <v>0</v>
      </c>
      <c r="X42" s="650"/>
      <c r="Y42" s="649">
        <f t="shared" si="9"/>
        <v>0</v>
      </c>
      <c r="Z42" s="650"/>
      <c r="AA42" s="649">
        <f t="shared" si="10"/>
        <v>0</v>
      </c>
      <c r="AB42" s="650"/>
      <c r="AC42" s="649">
        <f t="shared" si="11"/>
        <v>0</v>
      </c>
      <c r="AD42" s="650"/>
      <c r="AE42" s="649">
        <f t="shared" si="12"/>
        <v>0</v>
      </c>
      <c r="AF42" s="650"/>
      <c r="AG42" s="649">
        <f t="shared" si="13"/>
        <v>0</v>
      </c>
      <c r="AH42" s="650"/>
      <c r="AI42" s="649">
        <f t="shared" si="14"/>
        <v>0</v>
      </c>
      <c r="AJ42" s="650"/>
      <c r="AK42" s="649">
        <f t="shared" si="15"/>
        <v>0</v>
      </c>
      <c r="AL42" s="650"/>
      <c r="AM42" s="649">
        <f t="shared" si="16"/>
        <v>0</v>
      </c>
      <c r="AN42" s="650"/>
      <c r="AO42" s="649">
        <f t="shared" si="17"/>
        <v>0</v>
      </c>
      <c r="AP42" s="650"/>
      <c r="AQ42" s="649">
        <f t="shared" si="18"/>
        <v>0</v>
      </c>
      <c r="AR42" s="650"/>
      <c r="AS42" s="651">
        <f t="shared" si="19"/>
        <v>0</v>
      </c>
      <c r="AT42" s="652"/>
      <c r="AU42" s="141">
        <f t="shared" si="20"/>
        <v>0</v>
      </c>
      <c r="AV42" s="141">
        <f t="shared" si="21"/>
        <v>0</v>
      </c>
      <c r="AW42" s="141">
        <f t="shared" si="22"/>
        <v>0</v>
      </c>
      <c r="AX42" s="141">
        <f t="shared" si="23"/>
        <v>0</v>
      </c>
      <c r="AY42" s="141">
        <f t="shared" si="24"/>
        <v>0</v>
      </c>
      <c r="AZ42" s="141">
        <f t="shared" si="25"/>
        <v>0</v>
      </c>
      <c r="BA42" s="141">
        <f t="shared" si="26"/>
        <v>0</v>
      </c>
      <c r="BB42" s="141">
        <f t="shared" si="27"/>
        <v>0</v>
      </c>
      <c r="BC42" s="141">
        <f t="shared" si="28"/>
        <v>0</v>
      </c>
      <c r="BD42" s="141">
        <f t="shared" si="29"/>
        <v>0</v>
      </c>
      <c r="BE42" s="141">
        <f t="shared" si="30"/>
        <v>0</v>
      </c>
      <c r="BF42" s="141">
        <f t="shared" si="31"/>
        <v>0</v>
      </c>
      <c r="BG42" s="141">
        <f t="shared" si="32"/>
        <v>0</v>
      </c>
      <c r="BH42" s="141">
        <f t="shared" si="33"/>
        <v>0</v>
      </c>
      <c r="BI42" s="141">
        <f t="shared" si="34"/>
        <v>0</v>
      </c>
      <c r="BJ42" s="147">
        <f t="shared" si="35"/>
        <v>0</v>
      </c>
      <c r="BK42" s="141">
        <f t="shared" si="36"/>
        <v>0</v>
      </c>
      <c r="BL42" s="141">
        <f t="shared" si="37"/>
        <v>0</v>
      </c>
      <c r="BM42" s="141">
        <f t="shared" si="38"/>
        <v>0</v>
      </c>
      <c r="BN42" s="141">
        <f t="shared" si="39"/>
        <v>0</v>
      </c>
      <c r="BO42" s="141">
        <f t="shared" si="40"/>
        <v>0</v>
      </c>
      <c r="BP42" s="141">
        <f t="shared" si="41"/>
        <v>0</v>
      </c>
      <c r="BS42" s="153"/>
      <c r="BT42" s="154">
        <v>250</v>
      </c>
      <c r="BU42" s="155" t="s">
        <v>539</v>
      </c>
      <c r="BV42" s="156" t="s">
        <v>550</v>
      </c>
      <c r="BW42" s="157">
        <v>0.85</v>
      </c>
      <c r="BX42" s="158">
        <v>0.95</v>
      </c>
      <c r="BY42" s="157">
        <v>0.95</v>
      </c>
      <c r="BZ42" s="158">
        <v>1.1499999999999999</v>
      </c>
      <c r="CA42" s="158">
        <v>1.4</v>
      </c>
      <c r="CB42" s="158">
        <v>1.4</v>
      </c>
      <c r="CC42" s="158">
        <v>1.4</v>
      </c>
      <c r="CD42" s="159"/>
      <c r="CE42" s="101"/>
      <c r="CF42" s="160">
        <v>900</v>
      </c>
      <c r="CG42" s="157">
        <v>0.3</v>
      </c>
      <c r="CH42" s="160">
        <v>900</v>
      </c>
      <c r="CI42" s="158">
        <v>0.2</v>
      </c>
      <c r="CJ42" s="161"/>
      <c r="CK42" s="162"/>
      <c r="CL42" s="110"/>
    </row>
    <row r="43" spans="2:90" s="108" customFormat="1">
      <c r="B43" s="109"/>
      <c r="C43" s="141" t="e">
        <f t="shared" si="1"/>
        <v>#NUM!</v>
      </c>
      <c r="D43" s="141">
        <f t="shared" si="2"/>
        <v>0</v>
      </c>
      <c r="E43" s="141" t="str">
        <f>IFERROR(DGET($BV$30:$CC$82,F43,G42:G43),"")</f>
        <v/>
      </c>
      <c r="F43" s="142">
        <f t="shared" si="42"/>
        <v>0</v>
      </c>
      <c r="G43" s="142" t="b">
        <f>IF(Q43&gt;0,IF(AND(S43&gt;0,S43&lt;2),CONCATENATE(Q43," ","0-2"),IF(AND(S43&gt;=2,S43&lt;8),CONCATENATE(Q43," ","2-8"),)))</f>
        <v>0</v>
      </c>
      <c r="H43" s="80">
        <f t="shared" si="3"/>
        <v>0</v>
      </c>
      <c r="I43" s="80" t="str">
        <f t="shared" si="4"/>
        <v/>
      </c>
      <c r="J43" s="76"/>
      <c r="K43" s="76"/>
      <c r="L43" s="76"/>
      <c r="M43" s="80"/>
      <c r="N43" s="79"/>
      <c r="O43" s="148"/>
      <c r="P43" s="77">
        <f t="shared" si="5"/>
        <v>0</v>
      </c>
      <c r="Q43" s="81"/>
      <c r="R43" s="77"/>
      <c r="S43" s="146">
        <f t="shared" si="6"/>
        <v>0</v>
      </c>
      <c r="T43" s="141" t="b">
        <f t="shared" si="43"/>
        <v>0</v>
      </c>
      <c r="U43" s="649">
        <f t="shared" si="7"/>
        <v>0</v>
      </c>
      <c r="V43" s="650"/>
      <c r="W43" s="649">
        <f t="shared" si="8"/>
        <v>0</v>
      </c>
      <c r="X43" s="650"/>
      <c r="Y43" s="649">
        <f t="shared" si="9"/>
        <v>0</v>
      </c>
      <c r="Z43" s="650"/>
      <c r="AA43" s="649">
        <f t="shared" si="10"/>
        <v>0</v>
      </c>
      <c r="AB43" s="650"/>
      <c r="AC43" s="649">
        <f t="shared" si="11"/>
        <v>0</v>
      </c>
      <c r="AD43" s="650"/>
      <c r="AE43" s="649">
        <f t="shared" si="12"/>
        <v>0</v>
      </c>
      <c r="AF43" s="650"/>
      <c r="AG43" s="649">
        <f t="shared" si="13"/>
        <v>0</v>
      </c>
      <c r="AH43" s="650"/>
      <c r="AI43" s="649">
        <f t="shared" si="14"/>
        <v>0</v>
      </c>
      <c r="AJ43" s="650"/>
      <c r="AK43" s="649">
        <f t="shared" si="15"/>
        <v>0</v>
      </c>
      <c r="AL43" s="650"/>
      <c r="AM43" s="649">
        <f t="shared" si="16"/>
        <v>0</v>
      </c>
      <c r="AN43" s="650"/>
      <c r="AO43" s="649">
        <f t="shared" si="17"/>
        <v>0</v>
      </c>
      <c r="AP43" s="650"/>
      <c r="AQ43" s="649">
        <f t="shared" si="18"/>
        <v>0</v>
      </c>
      <c r="AR43" s="650"/>
      <c r="AS43" s="651">
        <f t="shared" si="19"/>
        <v>0</v>
      </c>
      <c r="AT43" s="652"/>
      <c r="AU43" s="141">
        <f t="shared" si="20"/>
        <v>0</v>
      </c>
      <c r="AV43" s="141">
        <f t="shared" si="21"/>
        <v>0</v>
      </c>
      <c r="AW43" s="141">
        <f t="shared" si="22"/>
        <v>0</v>
      </c>
      <c r="AX43" s="141">
        <f t="shared" si="23"/>
        <v>0</v>
      </c>
      <c r="AY43" s="141">
        <f t="shared" si="24"/>
        <v>0</v>
      </c>
      <c r="AZ43" s="141">
        <f t="shared" si="25"/>
        <v>0</v>
      </c>
      <c r="BA43" s="141">
        <f t="shared" si="26"/>
        <v>0</v>
      </c>
      <c r="BB43" s="141">
        <f t="shared" si="27"/>
        <v>0</v>
      </c>
      <c r="BC43" s="141">
        <f t="shared" si="28"/>
        <v>0</v>
      </c>
      <c r="BD43" s="141">
        <f t="shared" si="29"/>
        <v>0</v>
      </c>
      <c r="BE43" s="141">
        <f t="shared" si="30"/>
        <v>0</v>
      </c>
      <c r="BF43" s="141">
        <f t="shared" si="31"/>
        <v>0</v>
      </c>
      <c r="BG43" s="141">
        <f t="shared" si="32"/>
        <v>0</v>
      </c>
      <c r="BH43" s="141">
        <f t="shared" si="33"/>
        <v>0</v>
      </c>
      <c r="BI43" s="141">
        <f t="shared" si="34"/>
        <v>0</v>
      </c>
      <c r="BJ43" s="147">
        <f t="shared" si="35"/>
        <v>0</v>
      </c>
      <c r="BK43" s="141">
        <f t="shared" si="36"/>
        <v>0</v>
      </c>
      <c r="BL43" s="141">
        <f t="shared" si="37"/>
        <v>0</v>
      </c>
      <c r="BM43" s="141">
        <f t="shared" si="38"/>
        <v>0</v>
      </c>
      <c r="BN43" s="141">
        <f t="shared" si="39"/>
        <v>0</v>
      </c>
      <c r="BO43" s="141">
        <f t="shared" si="40"/>
        <v>0</v>
      </c>
      <c r="BP43" s="141">
        <f t="shared" si="41"/>
        <v>0</v>
      </c>
      <c r="BS43" s="153"/>
      <c r="BT43" s="154">
        <v>300</v>
      </c>
      <c r="BU43" s="155" t="s">
        <v>537</v>
      </c>
      <c r="BV43" s="156" t="s">
        <v>551</v>
      </c>
      <c r="BW43" s="157">
        <v>0.8</v>
      </c>
      <c r="BX43" s="158">
        <v>0.85</v>
      </c>
      <c r="BY43" s="157">
        <v>0.85</v>
      </c>
      <c r="BZ43" s="158">
        <v>0.95</v>
      </c>
      <c r="CA43" s="158">
        <v>1.45</v>
      </c>
      <c r="CB43" s="158">
        <v>1.45</v>
      </c>
      <c r="CC43" s="158">
        <v>1.45</v>
      </c>
      <c r="CD43" s="82"/>
      <c r="CF43" s="160">
        <v>1000</v>
      </c>
      <c r="CG43" s="157">
        <v>0.4</v>
      </c>
      <c r="CH43" s="160">
        <v>1000</v>
      </c>
      <c r="CI43" s="158">
        <v>0.2</v>
      </c>
      <c r="CJ43" s="110"/>
      <c r="CK43" s="110"/>
      <c r="CL43" s="110"/>
    </row>
    <row r="44" spans="2:90" s="108" customFormat="1">
      <c r="B44" s="109"/>
      <c r="C44" s="141">
        <f t="shared" si="1"/>
        <v>600</v>
      </c>
      <c r="D44" s="141">
        <f t="shared" si="2"/>
        <v>1</v>
      </c>
      <c r="E44" s="141"/>
      <c r="F44" s="142">
        <f t="shared" si="42"/>
        <v>0</v>
      </c>
      <c r="G44" s="143" t="s">
        <v>146</v>
      </c>
      <c r="H44" s="80">
        <f t="shared" si="3"/>
        <v>0</v>
      </c>
      <c r="I44" s="80" t="str">
        <f t="shared" si="4"/>
        <v/>
      </c>
      <c r="J44" s="144"/>
      <c r="K44" s="144"/>
      <c r="L44" s="144"/>
      <c r="M44" s="76" t="s">
        <v>365</v>
      </c>
      <c r="N44" s="77"/>
      <c r="O44" s="145"/>
      <c r="P44" s="77">
        <f t="shared" si="5"/>
        <v>0</v>
      </c>
      <c r="Q44" s="78"/>
      <c r="R44" s="79">
        <v>1.5</v>
      </c>
      <c r="S44" s="146">
        <f t="shared" si="6"/>
        <v>0</v>
      </c>
      <c r="T44" s="141">
        <f t="shared" si="43"/>
        <v>0</v>
      </c>
      <c r="U44" s="649">
        <f t="shared" si="7"/>
        <v>0</v>
      </c>
      <c r="V44" s="650"/>
      <c r="W44" s="649">
        <f t="shared" si="8"/>
        <v>0</v>
      </c>
      <c r="X44" s="650"/>
      <c r="Y44" s="649">
        <f t="shared" si="9"/>
        <v>0</v>
      </c>
      <c r="Z44" s="650"/>
      <c r="AA44" s="649">
        <f t="shared" si="10"/>
        <v>0</v>
      </c>
      <c r="AB44" s="650"/>
      <c r="AC44" s="649">
        <f t="shared" si="11"/>
        <v>0</v>
      </c>
      <c r="AD44" s="650"/>
      <c r="AE44" s="649">
        <f t="shared" si="12"/>
        <v>0</v>
      </c>
      <c r="AF44" s="650"/>
      <c r="AG44" s="649">
        <f t="shared" si="13"/>
        <v>0</v>
      </c>
      <c r="AH44" s="650"/>
      <c r="AI44" s="649">
        <f t="shared" si="14"/>
        <v>0</v>
      </c>
      <c r="AJ44" s="650"/>
      <c r="AK44" s="649">
        <f t="shared" si="15"/>
        <v>0</v>
      </c>
      <c r="AL44" s="650"/>
      <c r="AM44" s="649">
        <f t="shared" si="16"/>
        <v>0</v>
      </c>
      <c r="AN44" s="650"/>
      <c r="AO44" s="649">
        <f t="shared" si="17"/>
        <v>0</v>
      </c>
      <c r="AP44" s="650"/>
      <c r="AQ44" s="649">
        <f t="shared" si="18"/>
        <v>0</v>
      </c>
      <c r="AR44" s="650"/>
      <c r="AS44" s="651">
        <f t="shared" si="19"/>
        <v>0</v>
      </c>
      <c r="AT44" s="652"/>
      <c r="AU44" s="141">
        <f t="shared" si="20"/>
        <v>0</v>
      </c>
      <c r="AV44" s="141">
        <f t="shared" si="21"/>
        <v>0</v>
      </c>
      <c r="AW44" s="141">
        <f t="shared" si="22"/>
        <v>0</v>
      </c>
      <c r="AX44" s="141">
        <f t="shared" si="23"/>
        <v>0</v>
      </c>
      <c r="AY44" s="141">
        <f t="shared" si="24"/>
        <v>0</v>
      </c>
      <c r="AZ44" s="141">
        <f t="shared" si="25"/>
        <v>0</v>
      </c>
      <c r="BA44" s="141">
        <f t="shared" si="26"/>
        <v>0</v>
      </c>
      <c r="BB44" s="141">
        <f t="shared" si="27"/>
        <v>0</v>
      </c>
      <c r="BC44" s="141">
        <f t="shared" si="28"/>
        <v>0</v>
      </c>
      <c r="BD44" s="141">
        <f t="shared" si="29"/>
        <v>0</v>
      </c>
      <c r="BE44" s="141">
        <f t="shared" si="30"/>
        <v>0</v>
      </c>
      <c r="BF44" s="141">
        <f t="shared" si="31"/>
        <v>0</v>
      </c>
      <c r="BG44" s="141">
        <f t="shared" si="32"/>
        <v>0</v>
      </c>
      <c r="BH44" s="141">
        <f t="shared" si="33"/>
        <v>0</v>
      </c>
      <c r="BI44" s="141">
        <f t="shared" si="34"/>
        <v>0</v>
      </c>
      <c r="BJ44" s="147">
        <f t="shared" si="35"/>
        <v>0</v>
      </c>
      <c r="BK44" s="141">
        <f t="shared" si="36"/>
        <v>0</v>
      </c>
      <c r="BL44" s="141">
        <f t="shared" si="37"/>
        <v>0</v>
      </c>
      <c r="BM44" s="141">
        <f t="shared" si="38"/>
        <v>0</v>
      </c>
      <c r="BN44" s="141">
        <f t="shared" si="39"/>
        <v>0</v>
      </c>
      <c r="BO44" s="141">
        <f t="shared" si="40"/>
        <v>0</v>
      </c>
      <c r="BP44" s="141">
        <f t="shared" si="41"/>
        <v>0</v>
      </c>
      <c r="BS44" s="153"/>
      <c r="BT44" s="154">
        <v>300</v>
      </c>
      <c r="BU44" s="155" t="s">
        <v>539</v>
      </c>
      <c r="BV44" s="156" t="s">
        <v>552</v>
      </c>
      <c r="BW44" s="157">
        <v>0.9</v>
      </c>
      <c r="BX44" s="158">
        <v>1.1000000000000001</v>
      </c>
      <c r="BY44" s="157">
        <v>1.1000000000000001</v>
      </c>
      <c r="BZ44" s="158">
        <v>1.2</v>
      </c>
      <c r="CA44" s="158">
        <v>1.45</v>
      </c>
      <c r="CB44" s="158">
        <v>1.45</v>
      </c>
      <c r="CC44" s="158">
        <v>1.45</v>
      </c>
      <c r="CD44" s="149"/>
      <c r="CE44" s="149"/>
      <c r="CF44" s="160">
        <v>1200</v>
      </c>
      <c r="CG44" s="157">
        <v>0.4</v>
      </c>
      <c r="CH44" s="160">
        <v>1200</v>
      </c>
      <c r="CI44" s="158">
        <v>0.2</v>
      </c>
    </row>
    <row r="45" spans="2:90" s="108" customFormat="1">
      <c r="B45" s="109"/>
      <c r="C45" s="141">
        <f t="shared" si="1"/>
        <v>600</v>
      </c>
      <c r="D45" s="141">
        <f t="shared" si="2"/>
        <v>0</v>
      </c>
      <c r="E45" s="141">
        <f>IFERROR(DGET($BV$30:$CC$82,F45,G44:G45),"")</f>
        <v>1.25</v>
      </c>
      <c r="F45" s="142" t="str">
        <f t="shared" si="42"/>
        <v>DESCONTÍNUO</v>
      </c>
      <c r="G45" s="142" t="str">
        <f>IF(Q45&gt;0,IF(AND(S45&gt;0,S45&lt;2),CONCATENATE(Q45," ","0-2"),IF(AND(S45&gt;=2,S45&lt;8),CONCATENATE(Q45," ","2-8"),)))</f>
        <v>600 0-2</v>
      </c>
      <c r="H45" s="80">
        <f t="shared" si="3"/>
        <v>0</v>
      </c>
      <c r="I45" s="80" t="str">
        <f t="shared" si="4"/>
        <v>BSTC600</v>
      </c>
      <c r="J45" s="76" t="s">
        <v>198</v>
      </c>
      <c r="K45" s="76" t="s">
        <v>177</v>
      </c>
      <c r="L45" s="76" t="s">
        <v>201</v>
      </c>
      <c r="M45" s="80"/>
      <c r="N45" s="79">
        <v>80</v>
      </c>
      <c r="O45" s="148">
        <v>7.9399999999999998E-2</v>
      </c>
      <c r="P45" s="77">
        <f t="shared" si="5"/>
        <v>80.251778198367674</v>
      </c>
      <c r="Q45" s="81">
        <v>600</v>
      </c>
      <c r="R45" s="77"/>
      <c r="S45" s="146">
        <f t="shared" si="6"/>
        <v>1.5</v>
      </c>
      <c r="T45" s="141" t="b">
        <f t="shared" si="43"/>
        <v>0</v>
      </c>
      <c r="U45" s="649">
        <f t="shared" si="7"/>
        <v>0</v>
      </c>
      <c r="V45" s="650"/>
      <c r="W45" s="649">
        <f t="shared" si="8"/>
        <v>0</v>
      </c>
      <c r="X45" s="650"/>
      <c r="Y45" s="649">
        <f t="shared" si="9"/>
        <v>0</v>
      </c>
      <c r="Z45" s="650"/>
      <c r="AA45" s="649">
        <f t="shared" si="10"/>
        <v>150.47208412193939</v>
      </c>
      <c r="AB45" s="650"/>
      <c r="AC45" s="649">
        <f t="shared" si="11"/>
        <v>0</v>
      </c>
      <c r="AD45" s="650"/>
      <c r="AE45" s="649">
        <f t="shared" si="12"/>
        <v>0</v>
      </c>
      <c r="AF45" s="650"/>
      <c r="AG45" s="649">
        <f t="shared" si="13"/>
        <v>0</v>
      </c>
      <c r="AH45" s="650"/>
      <c r="AI45" s="649">
        <f t="shared" si="14"/>
        <v>0</v>
      </c>
      <c r="AJ45" s="650"/>
      <c r="AK45" s="649">
        <f t="shared" si="15"/>
        <v>0</v>
      </c>
      <c r="AL45" s="650"/>
      <c r="AM45" s="649">
        <f t="shared" si="16"/>
        <v>0</v>
      </c>
      <c r="AN45" s="650"/>
      <c r="AO45" s="649">
        <f t="shared" si="17"/>
        <v>0</v>
      </c>
      <c r="AP45" s="650"/>
      <c r="AQ45" s="649">
        <f t="shared" si="18"/>
        <v>0</v>
      </c>
      <c r="AR45" s="650"/>
      <c r="AS45" s="651">
        <f t="shared" si="19"/>
        <v>0</v>
      </c>
      <c r="AT45" s="652"/>
      <c r="AU45" s="141">
        <f t="shared" si="20"/>
        <v>0</v>
      </c>
      <c r="AV45" s="141">
        <f t="shared" si="21"/>
        <v>240.75533459510302</v>
      </c>
      <c r="AW45" s="141">
        <f t="shared" si="22"/>
        <v>0</v>
      </c>
      <c r="AX45" s="141">
        <f t="shared" si="23"/>
        <v>0</v>
      </c>
      <c r="AY45" s="141">
        <f t="shared" si="24"/>
        <v>0</v>
      </c>
      <c r="AZ45" s="141">
        <f t="shared" si="25"/>
        <v>0</v>
      </c>
      <c r="BA45" s="141">
        <f t="shared" si="26"/>
        <v>150.47208412193939</v>
      </c>
      <c r="BB45" s="141">
        <f t="shared" si="27"/>
        <v>107.71848385805163</v>
      </c>
      <c r="BC45" s="141">
        <f t="shared" si="28"/>
        <v>42.753600263887762</v>
      </c>
      <c r="BD45" s="141">
        <f t="shared" si="29"/>
        <v>0</v>
      </c>
      <c r="BE45" s="141">
        <f t="shared" si="30"/>
        <v>100.31472274795959</v>
      </c>
      <c r="BF45" s="141">
        <f t="shared" si="31"/>
        <v>0</v>
      </c>
      <c r="BG45" s="141">
        <f t="shared" si="32"/>
        <v>0</v>
      </c>
      <c r="BH45" s="141">
        <f t="shared" si="33"/>
        <v>0</v>
      </c>
      <c r="BI45" s="141">
        <f t="shared" si="34"/>
        <v>0</v>
      </c>
      <c r="BJ45" s="147">
        <f t="shared" si="35"/>
        <v>0</v>
      </c>
      <c r="BK45" s="141">
        <f t="shared" si="36"/>
        <v>20.062944549591919</v>
      </c>
      <c r="BL45" s="141">
        <f t="shared" si="37"/>
        <v>52.966173610922667</v>
      </c>
      <c r="BM45" s="141">
        <f t="shared" si="38"/>
        <v>100.31472274795959</v>
      </c>
      <c r="BN45" s="141">
        <f t="shared" si="39"/>
        <v>0</v>
      </c>
      <c r="BO45" s="141">
        <f t="shared" si="40"/>
        <v>0</v>
      </c>
      <c r="BP45" s="141">
        <f t="shared" si="41"/>
        <v>0</v>
      </c>
      <c r="BS45" s="153"/>
      <c r="BT45" s="154">
        <v>350</v>
      </c>
      <c r="BU45" s="155" t="s">
        <v>537</v>
      </c>
      <c r="BV45" s="156" t="s">
        <v>553</v>
      </c>
      <c r="BW45" s="157">
        <v>0.8</v>
      </c>
      <c r="BX45" s="158">
        <v>0.85</v>
      </c>
      <c r="BY45" s="157">
        <v>0.85</v>
      </c>
      <c r="BZ45" s="158">
        <v>0.95</v>
      </c>
      <c r="CA45" s="158">
        <v>1.45</v>
      </c>
      <c r="CB45" s="158">
        <v>1.45</v>
      </c>
      <c r="CC45" s="158">
        <v>1.45</v>
      </c>
      <c r="CD45" s="111"/>
      <c r="CE45" s="111"/>
      <c r="CF45" s="160">
        <v>1500</v>
      </c>
      <c r="CG45" s="157">
        <v>0.4</v>
      </c>
      <c r="CH45" s="160">
        <v>1500</v>
      </c>
      <c r="CI45" s="158">
        <v>0.2</v>
      </c>
    </row>
    <row r="46" spans="2:90" s="108" customFormat="1">
      <c r="B46" s="109"/>
      <c r="C46" s="141">
        <f t="shared" si="1"/>
        <v>600</v>
      </c>
      <c r="D46" s="141">
        <f t="shared" si="2"/>
        <v>1</v>
      </c>
      <c r="E46" s="141"/>
      <c r="F46" s="142">
        <f t="shared" si="42"/>
        <v>0</v>
      </c>
      <c r="G46" s="143" t="s">
        <v>146</v>
      </c>
      <c r="H46" s="80">
        <f t="shared" si="3"/>
        <v>0</v>
      </c>
      <c r="I46" s="80" t="str">
        <f t="shared" si="4"/>
        <v/>
      </c>
      <c r="J46" s="144"/>
      <c r="K46" s="144"/>
      <c r="L46" s="144"/>
      <c r="M46" s="76" t="s">
        <v>366</v>
      </c>
      <c r="N46" s="77"/>
      <c r="O46" s="145"/>
      <c r="P46" s="77">
        <f t="shared" si="5"/>
        <v>0</v>
      </c>
      <c r="Q46" s="78"/>
      <c r="R46" s="79">
        <v>1.5</v>
      </c>
      <c r="S46" s="146">
        <f t="shared" si="6"/>
        <v>0</v>
      </c>
      <c r="T46" s="141">
        <f t="shared" si="43"/>
        <v>0</v>
      </c>
      <c r="U46" s="649">
        <f t="shared" si="7"/>
        <v>0</v>
      </c>
      <c r="V46" s="650"/>
      <c r="W46" s="649">
        <f t="shared" si="8"/>
        <v>0</v>
      </c>
      <c r="X46" s="650"/>
      <c r="Y46" s="649">
        <f t="shared" si="9"/>
        <v>0</v>
      </c>
      <c r="Z46" s="650"/>
      <c r="AA46" s="649">
        <f t="shared" si="10"/>
        <v>0</v>
      </c>
      <c r="AB46" s="650"/>
      <c r="AC46" s="649">
        <f t="shared" si="11"/>
        <v>0</v>
      </c>
      <c r="AD46" s="650"/>
      <c r="AE46" s="649">
        <f t="shared" si="12"/>
        <v>0</v>
      </c>
      <c r="AF46" s="650"/>
      <c r="AG46" s="649">
        <f t="shared" si="13"/>
        <v>0</v>
      </c>
      <c r="AH46" s="650"/>
      <c r="AI46" s="649">
        <f t="shared" si="14"/>
        <v>0</v>
      </c>
      <c r="AJ46" s="650"/>
      <c r="AK46" s="649">
        <f t="shared" si="15"/>
        <v>0</v>
      </c>
      <c r="AL46" s="650"/>
      <c r="AM46" s="649">
        <f t="shared" si="16"/>
        <v>0</v>
      </c>
      <c r="AN46" s="650"/>
      <c r="AO46" s="649">
        <f t="shared" si="17"/>
        <v>0</v>
      </c>
      <c r="AP46" s="650"/>
      <c r="AQ46" s="649">
        <f t="shared" si="18"/>
        <v>0</v>
      </c>
      <c r="AR46" s="650"/>
      <c r="AS46" s="651">
        <f t="shared" si="19"/>
        <v>0</v>
      </c>
      <c r="AT46" s="652"/>
      <c r="AU46" s="141">
        <f t="shared" si="20"/>
        <v>0</v>
      </c>
      <c r="AV46" s="141">
        <f t="shared" si="21"/>
        <v>0</v>
      </c>
      <c r="AW46" s="141">
        <f t="shared" si="22"/>
        <v>0</v>
      </c>
      <c r="AX46" s="141">
        <f t="shared" si="23"/>
        <v>0</v>
      </c>
      <c r="AY46" s="141">
        <f t="shared" si="24"/>
        <v>0</v>
      </c>
      <c r="AZ46" s="141">
        <f t="shared" si="25"/>
        <v>0</v>
      </c>
      <c r="BA46" s="141">
        <f t="shared" si="26"/>
        <v>0</v>
      </c>
      <c r="BB46" s="141">
        <f t="shared" si="27"/>
        <v>0</v>
      </c>
      <c r="BC46" s="141">
        <f t="shared" si="28"/>
        <v>0</v>
      </c>
      <c r="BD46" s="141">
        <f t="shared" si="29"/>
        <v>0</v>
      </c>
      <c r="BE46" s="141">
        <f t="shared" si="30"/>
        <v>0</v>
      </c>
      <c r="BF46" s="141">
        <f t="shared" si="31"/>
        <v>0</v>
      </c>
      <c r="BG46" s="141">
        <f t="shared" si="32"/>
        <v>0</v>
      </c>
      <c r="BH46" s="141">
        <f t="shared" si="33"/>
        <v>0</v>
      </c>
      <c r="BI46" s="141">
        <f t="shared" si="34"/>
        <v>0</v>
      </c>
      <c r="BJ46" s="147">
        <f t="shared" si="35"/>
        <v>0</v>
      </c>
      <c r="BK46" s="141">
        <f t="shared" si="36"/>
        <v>0</v>
      </c>
      <c r="BL46" s="141">
        <f t="shared" si="37"/>
        <v>0</v>
      </c>
      <c r="BM46" s="141">
        <f t="shared" si="38"/>
        <v>0</v>
      </c>
      <c r="BN46" s="141">
        <f t="shared" si="39"/>
        <v>0</v>
      </c>
      <c r="BO46" s="141">
        <f t="shared" si="40"/>
        <v>0</v>
      </c>
      <c r="BP46" s="141">
        <f t="shared" si="41"/>
        <v>0</v>
      </c>
      <c r="BS46" s="153"/>
      <c r="BT46" s="154">
        <v>350</v>
      </c>
      <c r="BU46" s="155" t="s">
        <v>539</v>
      </c>
      <c r="BV46" s="156" t="s">
        <v>554</v>
      </c>
      <c r="BW46" s="157">
        <v>0.9</v>
      </c>
      <c r="BX46" s="158">
        <v>1.1000000000000001</v>
      </c>
      <c r="BY46" s="157">
        <v>1.1000000000000001</v>
      </c>
      <c r="BZ46" s="158">
        <v>1.2</v>
      </c>
      <c r="CA46" s="158">
        <v>1.45</v>
      </c>
      <c r="CB46" s="158">
        <v>1.45</v>
      </c>
      <c r="CC46" s="158">
        <v>1.45</v>
      </c>
      <c r="CD46" s="161"/>
      <c r="CE46" s="162"/>
      <c r="CF46" s="160">
        <v>1800</v>
      </c>
      <c r="CG46" s="157">
        <v>0.5</v>
      </c>
      <c r="CH46" s="160">
        <v>1800</v>
      </c>
      <c r="CI46" s="158">
        <v>0.3</v>
      </c>
    </row>
    <row r="47" spans="2:90" s="108" customFormat="1">
      <c r="B47" s="109"/>
      <c r="C47" s="141">
        <f t="shared" si="1"/>
        <v>600</v>
      </c>
      <c r="D47" s="141">
        <f t="shared" si="2"/>
        <v>0</v>
      </c>
      <c r="E47" s="141">
        <f>IFERROR(DGET($BV$30:$CC$82,F47,G46:G47),"")</f>
        <v>1.25</v>
      </c>
      <c r="F47" s="142" t="str">
        <f t="shared" si="42"/>
        <v>DESCONTÍNUO</v>
      </c>
      <c r="G47" s="142" t="str">
        <f>IF(Q47&gt;0,IF(AND(S47&gt;0,S47&lt;2),CONCATENATE(Q47," ","0-2"),IF(AND(S47&gt;=2,S47&lt;8),CONCATENATE(Q47," ","2-8"),)))</f>
        <v>600 0-2</v>
      </c>
      <c r="H47" s="80">
        <f t="shared" si="3"/>
        <v>0</v>
      </c>
      <c r="I47" s="80" t="str">
        <f t="shared" si="4"/>
        <v>BSTC600</v>
      </c>
      <c r="J47" s="76" t="s">
        <v>198</v>
      </c>
      <c r="K47" s="76" t="s">
        <v>177</v>
      </c>
      <c r="L47" s="76" t="s">
        <v>201</v>
      </c>
      <c r="M47" s="80"/>
      <c r="N47" s="79">
        <v>80</v>
      </c>
      <c r="O47" s="148">
        <v>0.13200000000000001</v>
      </c>
      <c r="P47" s="77">
        <f t="shared" si="5"/>
        <v>80.693950206939306</v>
      </c>
      <c r="Q47" s="81">
        <v>600</v>
      </c>
      <c r="R47" s="77"/>
      <c r="S47" s="146">
        <f t="shared" si="6"/>
        <v>1.6</v>
      </c>
      <c r="T47" s="141" t="b">
        <f t="shared" si="43"/>
        <v>0</v>
      </c>
      <c r="U47" s="649">
        <f t="shared" si="7"/>
        <v>0</v>
      </c>
      <c r="V47" s="650"/>
      <c r="W47" s="649">
        <f t="shared" si="8"/>
        <v>0</v>
      </c>
      <c r="X47" s="650"/>
      <c r="Y47" s="649">
        <f t="shared" si="9"/>
        <v>0</v>
      </c>
      <c r="Z47" s="650"/>
      <c r="AA47" s="649">
        <f t="shared" si="10"/>
        <v>151.30115663801121</v>
      </c>
      <c r="AB47" s="650"/>
      <c r="AC47" s="649">
        <f t="shared" si="11"/>
        <v>10.086743775867422</v>
      </c>
      <c r="AD47" s="650"/>
      <c r="AE47" s="649">
        <f t="shared" si="12"/>
        <v>0</v>
      </c>
      <c r="AF47" s="650"/>
      <c r="AG47" s="649">
        <f t="shared" si="13"/>
        <v>0</v>
      </c>
      <c r="AH47" s="650"/>
      <c r="AI47" s="649">
        <f t="shared" si="14"/>
        <v>0</v>
      </c>
      <c r="AJ47" s="650"/>
      <c r="AK47" s="649">
        <f t="shared" si="15"/>
        <v>0</v>
      </c>
      <c r="AL47" s="650"/>
      <c r="AM47" s="649">
        <f t="shared" si="16"/>
        <v>0</v>
      </c>
      <c r="AN47" s="650"/>
      <c r="AO47" s="649">
        <f t="shared" si="17"/>
        <v>0</v>
      </c>
      <c r="AP47" s="650"/>
      <c r="AQ47" s="649">
        <f t="shared" si="18"/>
        <v>0</v>
      </c>
      <c r="AR47" s="650"/>
      <c r="AS47" s="651">
        <f t="shared" si="19"/>
        <v>0</v>
      </c>
      <c r="AT47" s="652"/>
      <c r="AU47" s="141">
        <f t="shared" si="20"/>
        <v>0</v>
      </c>
      <c r="AV47" s="141">
        <f t="shared" si="21"/>
        <v>258.22064066220577</v>
      </c>
      <c r="AW47" s="141">
        <f t="shared" si="22"/>
        <v>0</v>
      </c>
      <c r="AX47" s="141">
        <f t="shared" si="23"/>
        <v>0</v>
      </c>
      <c r="AY47" s="141">
        <f t="shared" si="24"/>
        <v>0</v>
      </c>
      <c r="AZ47" s="141">
        <f t="shared" si="25"/>
        <v>0</v>
      </c>
      <c r="BA47" s="141">
        <f t="shared" si="26"/>
        <v>161.38790041387864</v>
      </c>
      <c r="BB47" s="141">
        <f t="shared" si="27"/>
        <v>118.39873595781032</v>
      </c>
      <c r="BC47" s="141">
        <f t="shared" si="28"/>
        <v>42.989164456068323</v>
      </c>
      <c r="BD47" s="141">
        <f t="shared" si="29"/>
        <v>0</v>
      </c>
      <c r="BE47" s="141">
        <f t="shared" si="30"/>
        <v>100.86743775867413</v>
      </c>
      <c r="BF47" s="141">
        <f t="shared" si="31"/>
        <v>0</v>
      </c>
      <c r="BG47" s="141">
        <f t="shared" si="32"/>
        <v>0</v>
      </c>
      <c r="BH47" s="141">
        <f t="shared" si="33"/>
        <v>0</v>
      </c>
      <c r="BI47" s="141">
        <f t="shared" si="34"/>
        <v>0</v>
      </c>
      <c r="BJ47" s="147">
        <f t="shared" si="35"/>
        <v>0</v>
      </c>
      <c r="BK47" s="141">
        <f t="shared" si="36"/>
        <v>20.173487551734826</v>
      </c>
      <c r="BL47" s="141">
        <f t="shared" si="37"/>
        <v>53.258007136579941</v>
      </c>
      <c r="BM47" s="141">
        <f t="shared" si="38"/>
        <v>100.86743775867413</v>
      </c>
      <c r="BN47" s="141">
        <f t="shared" si="39"/>
        <v>0</v>
      </c>
      <c r="BO47" s="141">
        <f t="shared" si="40"/>
        <v>0</v>
      </c>
      <c r="BP47" s="141">
        <f t="shared" si="41"/>
        <v>0</v>
      </c>
      <c r="BS47" s="153"/>
      <c r="BT47" s="154">
        <v>400</v>
      </c>
      <c r="BU47" s="155" t="s">
        <v>537</v>
      </c>
      <c r="BV47" s="156" t="s">
        <v>555</v>
      </c>
      <c r="BW47" s="157">
        <v>0.9</v>
      </c>
      <c r="BX47" s="158">
        <v>1</v>
      </c>
      <c r="BY47" s="157">
        <v>1</v>
      </c>
      <c r="BZ47" s="158">
        <v>1.1000000000000001</v>
      </c>
      <c r="CA47" s="158">
        <v>1.6</v>
      </c>
      <c r="CB47" s="158">
        <v>1.6</v>
      </c>
      <c r="CC47" s="158">
        <v>1.6</v>
      </c>
      <c r="CD47" s="159"/>
      <c r="CE47" s="101"/>
      <c r="CF47" s="160">
        <v>2100</v>
      </c>
      <c r="CG47" s="157">
        <v>0.5</v>
      </c>
      <c r="CH47" s="160">
        <v>2100</v>
      </c>
      <c r="CI47" s="158">
        <v>0.3</v>
      </c>
    </row>
    <row r="48" spans="2:90" s="108" customFormat="1">
      <c r="B48" s="109"/>
      <c r="C48" s="141">
        <f t="shared" si="1"/>
        <v>600</v>
      </c>
      <c r="D48" s="141">
        <f t="shared" si="2"/>
        <v>1</v>
      </c>
      <c r="E48" s="141"/>
      <c r="F48" s="142">
        <f t="shared" si="42"/>
        <v>0</v>
      </c>
      <c r="G48" s="143" t="s">
        <v>146</v>
      </c>
      <c r="H48" s="80">
        <f t="shared" si="3"/>
        <v>0</v>
      </c>
      <c r="I48" s="80" t="str">
        <f t="shared" si="4"/>
        <v/>
      </c>
      <c r="J48" s="144"/>
      <c r="K48" s="144"/>
      <c r="L48" s="144"/>
      <c r="M48" s="76" t="s">
        <v>367</v>
      </c>
      <c r="N48" s="77"/>
      <c r="O48" s="145"/>
      <c r="P48" s="77">
        <f t="shared" si="5"/>
        <v>0</v>
      </c>
      <c r="Q48" s="78"/>
      <c r="R48" s="79">
        <v>1.7</v>
      </c>
      <c r="S48" s="146">
        <f t="shared" si="6"/>
        <v>0</v>
      </c>
      <c r="T48" s="141">
        <f t="shared" si="43"/>
        <v>0.19999999999999996</v>
      </c>
      <c r="U48" s="649">
        <f t="shared" si="7"/>
        <v>0</v>
      </c>
      <c r="V48" s="650"/>
      <c r="W48" s="649">
        <f t="shared" si="8"/>
        <v>0</v>
      </c>
      <c r="X48" s="650"/>
      <c r="Y48" s="649">
        <f t="shared" si="9"/>
        <v>0</v>
      </c>
      <c r="Z48" s="650"/>
      <c r="AA48" s="649">
        <f t="shared" si="10"/>
        <v>0</v>
      </c>
      <c r="AB48" s="650"/>
      <c r="AC48" s="649">
        <f t="shared" si="11"/>
        <v>0</v>
      </c>
      <c r="AD48" s="650"/>
      <c r="AE48" s="649">
        <f t="shared" si="12"/>
        <v>0</v>
      </c>
      <c r="AF48" s="650"/>
      <c r="AG48" s="649">
        <f t="shared" si="13"/>
        <v>0</v>
      </c>
      <c r="AH48" s="650"/>
      <c r="AI48" s="649">
        <f t="shared" si="14"/>
        <v>0</v>
      </c>
      <c r="AJ48" s="650"/>
      <c r="AK48" s="649">
        <f t="shared" si="15"/>
        <v>0</v>
      </c>
      <c r="AL48" s="650"/>
      <c r="AM48" s="649">
        <f t="shared" si="16"/>
        <v>0</v>
      </c>
      <c r="AN48" s="650"/>
      <c r="AO48" s="649">
        <f t="shared" si="17"/>
        <v>0</v>
      </c>
      <c r="AP48" s="650"/>
      <c r="AQ48" s="649">
        <f t="shared" si="18"/>
        <v>0</v>
      </c>
      <c r="AR48" s="650"/>
      <c r="AS48" s="651">
        <f t="shared" si="19"/>
        <v>0</v>
      </c>
      <c r="AT48" s="652"/>
      <c r="AU48" s="141">
        <f t="shared" si="20"/>
        <v>0</v>
      </c>
      <c r="AV48" s="141">
        <f t="shared" si="21"/>
        <v>0</v>
      </c>
      <c r="AW48" s="141">
        <f t="shared" si="22"/>
        <v>0</v>
      </c>
      <c r="AX48" s="141">
        <f t="shared" si="23"/>
        <v>0</v>
      </c>
      <c r="AY48" s="141">
        <f t="shared" si="24"/>
        <v>0</v>
      </c>
      <c r="AZ48" s="141">
        <f t="shared" si="25"/>
        <v>0</v>
      </c>
      <c r="BA48" s="141">
        <f t="shared" si="26"/>
        <v>0</v>
      </c>
      <c r="BB48" s="141">
        <f t="shared" si="27"/>
        <v>0</v>
      </c>
      <c r="BC48" s="141">
        <f t="shared" si="28"/>
        <v>0</v>
      </c>
      <c r="BD48" s="141">
        <f t="shared" si="29"/>
        <v>0</v>
      </c>
      <c r="BE48" s="141">
        <f t="shared" si="30"/>
        <v>0</v>
      </c>
      <c r="BF48" s="141">
        <f t="shared" si="31"/>
        <v>0</v>
      </c>
      <c r="BG48" s="141">
        <f t="shared" si="32"/>
        <v>0</v>
      </c>
      <c r="BH48" s="141">
        <f t="shared" si="33"/>
        <v>0</v>
      </c>
      <c r="BI48" s="141">
        <f t="shared" si="34"/>
        <v>0</v>
      </c>
      <c r="BJ48" s="147">
        <f t="shared" si="35"/>
        <v>0</v>
      </c>
      <c r="BK48" s="141">
        <f t="shared" si="36"/>
        <v>0</v>
      </c>
      <c r="BL48" s="141">
        <f t="shared" si="37"/>
        <v>0</v>
      </c>
      <c r="BM48" s="141">
        <f t="shared" si="38"/>
        <v>0</v>
      </c>
      <c r="BN48" s="141">
        <f t="shared" si="39"/>
        <v>0</v>
      </c>
      <c r="BO48" s="141">
        <f t="shared" si="40"/>
        <v>0</v>
      </c>
      <c r="BP48" s="141">
        <f t="shared" si="41"/>
        <v>0</v>
      </c>
      <c r="BS48" s="153"/>
      <c r="BT48" s="154">
        <v>400</v>
      </c>
      <c r="BU48" s="155" t="s">
        <v>539</v>
      </c>
      <c r="BV48" s="156" t="s">
        <v>556</v>
      </c>
      <c r="BW48" s="157">
        <v>1</v>
      </c>
      <c r="BX48" s="158">
        <v>1.2</v>
      </c>
      <c r="BY48" s="157">
        <v>1.2</v>
      </c>
      <c r="BZ48" s="158">
        <v>1.3</v>
      </c>
      <c r="CA48" s="158">
        <v>1.6</v>
      </c>
      <c r="CB48" s="158">
        <v>1.6</v>
      </c>
      <c r="CC48" s="158">
        <v>1.6</v>
      </c>
      <c r="CD48" s="159"/>
      <c r="CE48" s="101"/>
      <c r="CF48" s="160">
        <v>2500</v>
      </c>
      <c r="CG48" s="157">
        <v>0.55000000000000004</v>
      </c>
      <c r="CH48" s="160">
        <v>2500</v>
      </c>
      <c r="CI48" s="158">
        <v>0.35</v>
      </c>
    </row>
    <row r="49" spans="2:87" s="108" customFormat="1">
      <c r="B49" s="109"/>
      <c r="C49" s="141">
        <f t="shared" si="1"/>
        <v>600</v>
      </c>
      <c r="D49" s="141">
        <f t="shared" si="2"/>
        <v>0</v>
      </c>
      <c r="E49" s="141">
        <f>IFERROR(DGET($BV$30:$CC$82,F49,G48:G49),"")</f>
        <v>1.25</v>
      </c>
      <c r="F49" s="142" t="str">
        <f t="shared" si="42"/>
        <v>DESCONTÍNUO</v>
      </c>
      <c r="G49" s="142" t="str">
        <f>IF(Q49&gt;0,IF(AND(S49&gt;0,S49&lt;2),CONCATENATE(Q49," ","0-2"),IF(AND(S49&gt;=2,S49&lt;8),CONCATENATE(Q49," ","2-8"),)))</f>
        <v>600 0-2</v>
      </c>
      <c r="H49" s="80">
        <f t="shared" si="3"/>
        <v>0</v>
      </c>
      <c r="I49" s="80" t="str">
        <f>CONCATENATE(J49,Q49)</f>
        <v>BSTC600</v>
      </c>
      <c r="J49" s="76" t="s">
        <v>198</v>
      </c>
      <c r="K49" s="76" t="s">
        <v>177</v>
      </c>
      <c r="L49" s="76" t="s">
        <v>201</v>
      </c>
      <c r="M49" s="80"/>
      <c r="N49" s="79">
        <v>40</v>
      </c>
      <c r="O49" s="148">
        <v>8.2400000000000001E-2</v>
      </c>
      <c r="P49" s="77">
        <f t="shared" si="5"/>
        <v>40.135565475024769</v>
      </c>
      <c r="Q49" s="81">
        <v>600</v>
      </c>
      <c r="R49" s="77"/>
      <c r="S49" s="146">
        <f t="shared" si="6"/>
        <v>1.6</v>
      </c>
      <c r="T49" s="141" t="b">
        <f t="shared" si="43"/>
        <v>0</v>
      </c>
      <c r="U49" s="649">
        <f t="shared" si="7"/>
        <v>0</v>
      </c>
      <c r="V49" s="650"/>
      <c r="W49" s="649">
        <f t="shared" si="8"/>
        <v>0</v>
      </c>
      <c r="X49" s="650"/>
      <c r="Y49" s="649">
        <f t="shared" si="9"/>
        <v>0</v>
      </c>
      <c r="Z49" s="650"/>
      <c r="AA49" s="649">
        <f t="shared" si="10"/>
        <v>75.254185265671438</v>
      </c>
      <c r="AB49" s="650"/>
      <c r="AC49" s="649">
        <f t="shared" si="11"/>
        <v>5.0169456843781006</v>
      </c>
      <c r="AD49" s="650"/>
      <c r="AE49" s="649">
        <f t="shared" si="12"/>
        <v>0</v>
      </c>
      <c r="AF49" s="650"/>
      <c r="AG49" s="649">
        <f t="shared" si="13"/>
        <v>0</v>
      </c>
      <c r="AH49" s="650"/>
      <c r="AI49" s="649">
        <f t="shared" si="14"/>
        <v>0</v>
      </c>
      <c r="AJ49" s="650"/>
      <c r="AK49" s="649">
        <f t="shared" si="15"/>
        <v>0</v>
      </c>
      <c r="AL49" s="650"/>
      <c r="AM49" s="649">
        <f t="shared" si="16"/>
        <v>0</v>
      </c>
      <c r="AN49" s="650"/>
      <c r="AO49" s="649">
        <f t="shared" si="17"/>
        <v>0</v>
      </c>
      <c r="AP49" s="650"/>
      <c r="AQ49" s="649">
        <f t="shared" si="18"/>
        <v>0</v>
      </c>
      <c r="AR49" s="650"/>
      <c r="AS49" s="651">
        <f t="shared" si="19"/>
        <v>0</v>
      </c>
      <c r="AT49" s="652"/>
      <c r="AU49" s="141">
        <f t="shared" si="20"/>
        <v>0</v>
      </c>
      <c r="AV49" s="141">
        <f t="shared" si="21"/>
        <v>128.43380952007928</v>
      </c>
      <c r="AW49" s="141">
        <f t="shared" si="22"/>
        <v>0</v>
      </c>
      <c r="AX49" s="141">
        <f t="shared" si="23"/>
        <v>0</v>
      </c>
      <c r="AY49" s="141">
        <f t="shared" si="24"/>
        <v>0</v>
      </c>
      <c r="AZ49" s="141">
        <f t="shared" si="25"/>
        <v>0</v>
      </c>
      <c r="BA49" s="141">
        <f t="shared" si="26"/>
        <v>80.271130950049539</v>
      </c>
      <c r="BB49" s="141">
        <f t="shared" si="27"/>
        <v>58.889175793332448</v>
      </c>
      <c r="BC49" s="141">
        <f t="shared" si="28"/>
        <v>21.38195515671709</v>
      </c>
      <c r="BD49" s="141">
        <f t="shared" si="29"/>
        <v>0</v>
      </c>
      <c r="BE49" s="141">
        <f t="shared" si="30"/>
        <v>50.169456843780964</v>
      </c>
      <c r="BF49" s="141">
        <f t="shared" si="31"/>
        <v>0</v>
      </c>
      <c r="BG49" s="141">
        <f t="shared" si="32"/>
        <v>0</v>
      </c>
      <c r="BH49" s="141">
        <f t="shared" si="33"/>
        <v>0</v>
      </c>
      <c r="BI49" s="141">
        <f t="shared" si="34"/>
        <v>0</v>
      </c>
      <c r="BJ49" s="147">
        <f t="shared" si="35"/>
        <v>0</v>
      </c>
      <c r="BK49" s="141">
        <f t="shared" si="36"/>
        <v>10.033891368756192</v>
      </c>
      <c r="BL49" s="141">
        <f t="shared" si="37"/>
        <v>26.489473213516348</v>
      </c>
      <c r="BM49" s="141">
        <f t="shared" si="38"/>
        <v>50.169456843780964</v>
      </c>
      <c r="BN49" s="141">
        <f t="shared" si="39"/>
        <v>0</v>
      </c>
      <c r="BO49" s="141">
        <f t="shared" si="40"/>
        <v>0</v>
      </c>
      <c r="BP49" s="141">
        <f t="shared" si="41"/>
        <v>0</v>
      </c>
      <c r="BS49" s="153"/>
      <c r="BT49" s="154">
        <v>500</v>
      </c>
      <c r="BU49" s="155" t="s">
        <v>537</v>
      </c>
      <c r="BV49" s="156" t="s">
        <v>557</v>
      </c>
      <c r="BW49" s="157">
        <v>1</v>
      </c>
      <c r="BX49" s="158">
        <v>1.1499999999999999</v>
      </c>
      <c r="BY49" s="157">
        <v>1.1499999999999999</v>
      </c>
      <c r="BZ49" s="158">
        <v>1.25</v>
      </c>
      <c r="CA49" s="158">
        <v>1.75</v>
      </c>
      <c r="CB49" s="158">
        <v>1.75</v>
      </c>
      <c r="CC49" s="158">
        <v>1.75</v>
      </c>
      <c r="CD49" s="159"/>
      <c r="CE49" s="101"/>
      <c r="CF49" s="160"/>
      <c r="CG49" s="157"/>
      <c r="CH49" s="160"/>
      <c r="CI49" s="158"/>
    </row>
    <row r="50" spans="2:87" s="108" customFormat="1">
      <c r="B50" s="109"/>
      <c r="C50" s="141">
        <f t="shared" si="1"/>
        <v>600</v>
      </c>
      <c r="D50" s="141">
        <f t="shared" si="2"/>
        <v>0</v>
      </c>
      <c r="E50" s="141"/>
      <c r="F50" s="142">
        <f t="shared" si="42"/>
        <v>0</v>
      </c>
      <c r="G50" s="143" t="s">
        <v>146</v>
      </c>
      <c r="H50" s="80">
        <f t="shared" si="3"/>
        <v>0</v>
      </c>
      <c r="I50" s="80" t="str">
        <f t="shared" si="4"/>
        <v/>
      </c>
      <c r="J50" s="144"/>
      <c r="K50" s="144"/>
      <c r="L50" s="144"/>
      <c r="M50" s="76" t="s">
        <v>368</v>
      </c>
      <c r="N50" s="77"/>
      <c r="O50" s="145"/>
      <c r="P50" s="77">
        <f t="shared" si="5"/>
        <v>0</v>
      </c>
      <c r="Q50" s="78"/>
      <c r="R50" s="79">
        <v>1.5</v>
      </c>
      <c r="S50" s="146">
        <f t="shared" si="6"/>
        <v>0</v>
      </c>
      <c r="T50" s="141">
        <f t="shared" si="43"/>
        <v>0</v>
      </c>
      <c r="U50" s="649">
        <f t="shared" si="7"/>
        <v>0</v>
      </c>
      <c r="V50" s="650"/>
      <c r="W50" s="649">
        <f t="shared" si="8"/>
        <v>0</v>
      </c>
      <c r="X50" s="650"/>
      <c r="Y50" s="649">
        <f t="shared" si="9"/>
        <v>0</v>
      </c>
      <c r="Z50" s="650"/>
      <c r="AA50" s="649">
        <f t="shared" si="10"/>
        <v>0</v>
      </c>
      <c r="AB50" s="650"/>
      <c r="AC50" s="649">
        <f t="shared" si="11"/>
        <v>0</v>
      </c>
      <c r="AD50" s="650"/>
      <c r="AE50" s="649">
        <f t="shared" si="12"/>
        <v>0</v>
      </c>
      <c r="AF50" s="650"/>
      <c r="AG50" s="649">
        <f t="shared" si="13"/>
        <v>0</v>
      </c>
      <c r="AH50" s="650"/>
      <c r="AI50" s="649">
        <f t="shared" si="14"/>
        <v>0</v>
      </c>
      <c r="AJ50" s="650"/>
      <c r="AK50" s="649">
        <f t="shared" si="15"/>
        <v>0</v>
      </c>
      <c r="AL50" s="650"/>
      <c r="AM50" s="649">
        <f t="shared" si="16"/>
        <v>0</v>
      </c>
      <c r="AN50" s="650"/>
      <c r="AO50" s="649">
        <f t="shared" si="17"/>
        <v>0</v>
      </c>
      <c r="AP50" s="650"/>
      <c r="AQ50" s="649">
        <f t="shared" si="18"/>
        <v>0</v>
      </c>
      <c r="AR50" s="650"/>
      <c r="AS50" s="651">
        <f t="shared" si="19"/>
        <v>0</v>
      </c>
      <c r="AT50" s="652"/>
      <c r="AU50" s="141">
        <f t="shared" si="20"/>
        <v>0</v>
      </c>
      <c r="AV50" s="141">
        <f t="shared" si="21"/>
        <v>0</v>
      </c>
      <c r="AW50" s="141">
        <f t="shared" si="22"/>
        <v>0</v>
      </c>
      <c r="AX50" s="141">
        <f t="shared" si="23"/>
        <v>0</v>
      </c>
      <c r="AY50" s="141">
        <f t="shared" si="24"/>
        <v>0</v>
      </c>
      <c r="AZ50" s="141">
        <f t="shared" si="25"/>
        <v>0</v>
      </c>
      <c r="BA50" s="141">
        <f t="shared" si="26"/>
        <v>0</v>
      </c>
      <c r="BB50" s="141">
        <f t="shared" si="27"/>
        <v>0</v>
      </c>
      <c r="BC50" s="141">
        <f t="shared" si="28"/>
        <v>0</v>
      </c>
      <c r="BD50" s="141">
        <f t="shared" si="29"/>
        <v>0</v>
      </c>
      <c r="BE50" s="141">
        <f t="shared" si="30"/>
        <v>0</v>
      </c>
      <c r="BF50" s="141">
        <f t="shared" si="31"/>
        <v>0</v>
      </c>
      <c r="BG50" s="141">
        <f t="shared" si="32"/>
        <v>0</v>
      </c>
      <c r="BH50" s="141">
        <f t="shared" si="33"/>
        <v>0</v>
      </c>
      <c r="BI50" s="141">
        <f t="shared" si="34"/>
        <v>0</v>
      </c>
      <c r="BJ50" s="147">
        <f t="shared" si="35"/>
        <v>0</v>
      </c>
      <c r="BK50" s="141">
        <f t="shared" si="36"/>
        <v>0</v>
      </c>
      <c r="BL50" s="141">
        <f t="shared" si="37"/>
        <v>0</v>
      </c>
      <c r="BM50" s="141">
        <f t="shared" si="38"/>
        <v>0</v>
      </c>
      <c r="BN50" s="141">
        <f t="shared" si="39"/>
        <v>0</v>
      </c>
      <c r="BO50" s="141">
        <f t="shared" si="40"/>
        <v>0</v>
      </c>
      <c r="BP50" s="141">
        <f t="shared" si="41"/>
        <v>0</v>
      </c>
      <c r="BS50" s="153"/>
      <c r="BT50" s="154">
        <v>500</v>
      </c>
      <c r="BU50" s="155" t="s">
        <v>539</v>
      </c>
      <c r="BV50" s="156" t="s">
        <v>558</v>
      </c>
      <c r="BW50" s="157">
        <v>1.2</v>
      </c>
      <c r="BX50" s="158">
        <v>1.3</v>
      </c>
      <c r="BY50" s="157">
        <v>1.3</v>
      </c>
      <c r="BZ50" s="158">
        <v>1.45</v>
      </c>
      <c r="CA50" s="158">
        <v>1.75</v>
      </c>
      <c r="CB50" s="158">
        <v>1.75</v>
      </c>
      <c r="CC50" s="158">
        <v>1.75</v>
      </c>
      <c r="CD50" s="159"/>
      <c r="CE50" s="101"/>
      <c r="CF50" s="160"/>
      <c r="CG50" s="157"/>
      <c r="CH50" s="160"/>
      <c r="CI50" s="158"/>
    </row>
    <row r="51" spans="2:87" s="108" customFormat="1">
      <c r="B51" s="109"/>
      <c r="C51" s="141">
        <f t="shared" si="1"/>
        <v>600</v>
      </c>
      <c r="D51" s="141">
        <f t="shared" si="2"/>
        <v>0</v>
      </c>
      <c r="E51" s="141">
        <f>IFERROR(DGET($BV$30:$CC$82,F51,G50:G51),"")</f>
        <v>1.25</v>
      </c>
      <c r="F51" s="142" t="str">
        <f t="shared" si="42"/>
        <v>DESCONTÍNUO</v>
      </c>
      <c r="G51" s="142" t="str">
        <f>IF(Q51&gt;0,IF(AND(S51&gt;0,S51&lt;2),CONCATENATE(Q51," ","0-2"),IF(AND(S51&gt;=2,S51&lt;8),CONCATENATE(Q51," ","2-8"),)))</f>
        <v>600 0-2</v>
      </c>
      <c r="H51" s="80">
        <f t="shared" si="3"/>
        <v>0</v>
      </c>
      <c r="I51" s="80" t="str">
        <f>CONCATENATE(J51,Q51)</f>
        <v>BSTC600</v>
      </c>
      <c r="J51" s="76" t="s">
        <v>198</v>
      </c>
      <c r="K51" s="76" t="s">
        <v>177</v>
      </c>
      <c r="L51" s="76" t="s">
        <v>201</v>
      </c>
      <c r="M51" s="80"/>
      <c r="N51" s="79">
        <v>40</v>
      </c>
      <c r="O51" s="148">
        <v>7.1999999999999995E-2</v>
      </c>
      <c r="P51" s="77">
        <f t="shared" si="5"/>
        <v>40.103545977880806</v>
      </c>
      <c r="Q51" s="81">
        <v>600</v>
      </c>
      <c r="R51" s="77"/>
      <c r="S51" s="146">
        <f t="shared" si="6"/>
        <v>1.65</v>
      </c>
      <c r="T51" s="141" t="b">
        <f t="shared" si="43"/>
        <v>0</v>
      </c>
      <c r="U51" s="649">
        <f t="shared" si="7"/>
        <v>0</v>
      </c>
      <c r="V51" s="650"/>
      <c r="W51" s="649">
        <f t="shared" si="8"/>
        <v>0</v>
      </c>
      <c r="X51" s="650"/>
      <c r="Y51" s="649">
        <f t="shared" si="9"/>
        <v>0</v>
      </c>
      <c r="Z51" s="650"/>
      <c r="AA51" s="649">
        <f t="shared" si="10"/>
        <v>75.194148708526512</v>
      </c>
      <c r="AB51" s="650"/>
      <c r="AC51" s="649">
        <f t="shared" si="11"/>
        <v>7.5194148708526463</v>
      </c>
      <c r="AD51" s="650"/>
      <c r="AE51" s="649">
        <f t="shared" si="12"/>
        <v>0</v>
      </c>
      <c r="AF51" s="650"/>
      <c r="AG51" s="649">
        <f t="shared" si="13"/>
        <v>0</v>
      </c>
      <c r="AH51" s="650"/>
      <c r="AI51" s="649">
        <f t="shared" si="14"/>
        <v>0</v>
      </c>
      <c r="AJ51" s="650"/>
      <c r="AK51" s="649">
        <f t="shared" si="15"/>
        <v>0</v>
      </c>
      <c r="AL51" s="650"/>
      <c r="AM51" s="649">
        <f t="shared" si="16"/>
        <v>0</v>
      </c>
      <c r="AN51" s="650"/>
      <c r="AO51" s="649">
        <f t="shared" si="17"/>
        <v>0</v>
      </c>
      <c r="AP51" s="650"/>
      <c r="AQ51" s="649">
        <f t="shared" si="18"/>
        <v>0</v>
      </c>
      <c r="AR51" s="650"/>
      <c r="AS51" s="651">
        <f t="shared" si="19"/>
        <v>0</v>
      </c>
      <c r="AT51" s="652"/>
      <c r="AU51" s="141">
        <f t="shared" si="20"/>
        <v>0</v>
      </c>
      <c r="AV51" s="141">
        <f t="shared" si="21"/>
        <v>132.34170172700667</v>
      </c>
      <c r="AW51" s="141">
        <f t="shared" si="22"/>
        <v>0</v>
      </c>
      <c r="AX51" s="141">
        <f t="shared" si="23"/>
        <v>0</v>
      </c>
      <c r="AY51" s="141">
        <f t="shared" si="24"/>
        <v>0</v>
      </c>
      <c r="AZ51" s="141">
        <f t="shared" si="25"/>
        <v>0</v>
      </c>
      <c r="BA51" s="141">
        <f t="shared" si="26"/>
        <v>82.713563579379155</v>
      </c>
      <c r="BB51" s="141">
        <f t="shared" si="27"/>
        <v>61.348666596477976</v>
      </c>
      <c r="BC51" s="141">
        <f t="shared" si="28"/>
        <v>21.364896982901179</v>
      </c>
      <c r="BD51" s="141">
        <f t="shared" si="29"/>
        <v>0</v>
      </c>
      <c r="BE51" s="141">
        <f t="shared" si="30"/>
        <v>50.129432472351006</v>
      </c>
      <c r="BF51" s="141">
        <f t="shared" si="31"/>
        <v>0</v>
      </c>
      <c r="BG51" s="141">
        <f t="shared" si="32"/>
        <v>0</v>
      </c>
      <c r="BH51" s="141">
        <f t="shared" si="33"/>
        <v>0</v>
      </c>
      <c r="BI51" s="141">
        <f t="shared" si="34"/>
        <v>0</v>
      </c>
      <c r="BJ51" s="147">
        <f t="shared" si="35"/>
        <v>0</v>
      </c>
      <c r="BK51" s="141">
        <f t="shared" si="36"/>
        <v>10.025886494470202</v>
      </c>
      <c r="BL51" s="141">
        <f t="shared" si="37"/>
        <v>26.468340345401334</v>
      </c>
      <c r="BM51" s="141">
        <f t="shared" si="38"/>
        <v>50.129432472351006</v>
      </c>
      <c r="BN51" s="141">
        <f t="shared" si="39"/>
        <v>0</v>
      </c>
      <c r="BO51" s="141">
        <f t="shared" si="40"/>
        <v>0</v>
      </c>
      <c r="BP51" s="141">
        <f t="shared" si="41"/>
        <v>0</v>
      </c>
      <c r="BS51" s="153"/>
      <c r="BT51" s="154">
        <v>600</v>
      </c>
      <c r="BU51" s="155" t="s">
        <v>537</v>
      </c>
      <c r="BV51" s="156" t="s">
        <v>559</v>
      </c>
      <c r="BW51" s="157">
        <v>1.1499999999999999</v>
      </c>
      <c r="BX51" s="158">
        <v>1.25</v>
      </c>
      <c r="BY51" s="157">
        <v>1.25</v>
      </c>
      <c r="BZ51" s="158">
        <v>1.35</v>
      </c>
      <c r="CA51" s="158">
        <v>1.85</v>
      </c>
      <c r="CB51" s="158">
        <v>1.85</v>
      </c>
      <c r="CC51" s="158">
        <v>1.85</v>
      </c>
      <c r="CD51" s="159"/>
      <c r="CE51" s="101"/>
      <c r="CF51" s="160"/>
      <c r="CG51" s="157"/>
      <c r="CH51" s="160"/>
      <c r="CI51" s="158"/>
    </row>
    <row r="52" spans="2:87" s="108" customFormat="1" ht="15" customHeight="1">
      <c r="B52" s="109"/>
      <c r="C52" s="141">
        <f t="shared" si="1"/>
        <v>600</v>
      </c>
      <c r="D52" s="141">
        <f t="shared" si="2"/>
        <v>1</v>
      </c>
      <c r="E52" s="141"/>
      <c r="F52" s="142">
        <f t="shared" si="42"/>
        <v>0</v>
      </c>
      <c r="G52" s="143" t="s">
        <v>146</v>
      </c>
      <c r="H52" s="80">
        <f t="shared" si="3"/>
        <v>0</v>
      </c>
      <c r="I52" s="80" t="str">
        <f t="shared" si="4"/>
        <v/>
      </c>
      <c r="J52" s="144"/>
      <c r="K52" s="144"/>
      <c r="L52" s="144"/>
      <c r="M52" s="76" t="s">
        <v>369</v>
      </c>
      <c r="N52" s="77"/>
      <c r="O52" s="145"/>
      <c r="P52" s="77">
        <f t="shared" si="5"/>
        <v>0</v>
      </c>
      <c r="Q52" s="78"/>
      <c r="R52" s="79">
        <v>1.8</v>
      </c>
      <c r="S52" s="146">
        <f t="shared" si="6"/>
        <v>0</v>
      </c>
      <c r="T52" s="141">
        <f t="shared" si="43"/>
        <v>0.30000000000000004</v>
      </c>
      <c r="U52" s="649">
        <f t="shared" si="7"/>
        <v>0</v>
      </c>
      <c r="V52" s="650"/>
      <c r="W52" s="649">
        <f t="shared" si="8"/>
        <v>0</v>
      </c>
      <c r="X52" s="650"/>
      <c r="Y52" s="649">
        <f t="shared" si="9"/>
        <v>0</v>
      </c>
      <c r="Z52" s="650"/>
      <c r="AA52" s="649">
        <f t="shared" si="10"/>
        <v>0</v>
      </c>
      <c r="AB52" s="650"/>
      <c r="AC52" s="649">
        <f t="shared" si="11"/>
        <v>0</v>
      </c>
      <c r="AD52" s="650"/>
      <c r="AE52" s="649">
        <f t="shared" si="12"/>
        <v>0</v>
      </c>
      <c r="AF52" s="650"/>
      <c r="AG52" s="649">
        <f t="shared" si="13"/>
        <v>0</v>
      </c>
      <c r="AH52" s="650"/>
      <c r="AI52" s="649">
        <f t="shared" si="14"/>
        <v>0</v>
      </c>
      <c r="AJ52" s="650"/>
      <c r="AK52" s="649">
        <f t="shared" si="15"/>
        <v>0</v>
      </c>
      <c r="AL52" s="650"/>
      <c r="AM52" s="649">
        <f t="shared" si="16"/>
        <v>0</v>
      </c>
      <c r="AN52" s="650"/>
      <c r="AO52" s="649">
        <f t="shared" si="17"/>
        <v>0</v>
      </c>
      <c r="AP52" s="650"/>
      <c r="AQ52" s="649">
        <f t="shared" si="18"/>
        <v>0</v>
      </c>
      <c r="AR52" s="650"/>
      <c r="AS52" s="651">
        <f t="shared" si="19"/>
        <v>0</v>
      </c>
      <c r="AT52" s="652"/>
      <c r="AU52" s="141">
        <f t="shared" si="20"/>
        <v>0</v>
      </c>
      <c r="AV52" s="141">
        <f t="shared" si="21"/>
        <v>0</v>
      </c>
      <c r="AW52" s="141">
        <f t="shared" si="22"/>
        <v>0</v>
      </c>
      <c r="AX52" s="141">
        <f t="shared" si="23"/>
        <v>0</v>
      </c>
      <c r="AY52" s="141">
        <f t="shared" si="24"/>
        <v>0</v>
      </c>
      <c r="AZ52" s="141">
        <f t="shared" si="25"/>
        <v>0</v>
      </c>
      <c r="BA52" s="141">
        <f t="shared" si="26"/>
        <v>0</v>
      </c>
      <c r="BB52" s="141">
        <f t="shared" si="27"/>
        <v>0</v>
      </c>
      <c r="BC52" s="141">
        <f t="shared" si="28"/>
        <v>0</v>
      </c>
      <c r="BD52" s="141">
        <f t="shared" si="29"/>
        <v>0</v>
      </c>
      <c r="BE52" s="141">
        <f t="shared" si="30"/>
        <v>0</v>
      </c>
      <c r="BF52" s="141">
        <f t="shared" si="31"/>
        <v>0</v>
      </c>
      <c r="BG52" s="141">
        <f t="shared" si="32"/>
        <v>0</v>
      </c>
      <c r="BH52" s="141">
        <f t="shared" si="33"/>
        <v>0</v>
      </c>
      <c r="BI52" s="141">
        <f t="shared" si="34"/>
        <v>0</v>
      </c>
      <c r="BJ52" s="147">
        <f t="shared" si="35"/>
        <v>0</v>
      </c>
      <c r="BK52" s="141">
        <f t="shared" si="36"/>
        <v>0</v>
      </c>
      <c r="BL52" s="141">
        <f t="shared" si="37"/>
        <v>0</v>
      </c>
      <c r="BM52" s="141">
        <f t="shared" si="38"/>
        <v>0</v>
      </c>
      <c r="BN52" s="141">
        <f t="shared" si="39"/>
        <v>0</v>
      </c>
      <c r="BO52" s="141">
        <f t="shared" si="40"/>
        <v>0</v>
      </c>
      <c r="BP52" s="141">
        <f t="shared" si="41"/>
        <v>0</v>
      </c>
      <c r="BS52" s="153"/>
      <c r="BT52" s="154">
        <v>600</v>
      </c>
      <c r="BU52" s="155" t="s">
        <v>539</v>
      </c>
      <c r="BV52" s="156" t="s">
        <v>560</v>
      </c>
      <c r="BW52" s="157">
        <v>1.3</v>
      </c>
      <c r="BX52" s="158">
        <v>1.45</v>
      </c>
      <c r="BY52" s="157">
        <v>1.45</v>
      </c>
      <c r="BZ52" s="158">
        <v>1.65</v>
      </c>
      <c r="CA52" s="158">
        <v>1.85</v>
      </c>
      <c r="CB52" s="158">
        <v>1.85</v>
      </c>
      <c r="CC52" s="158">
        <v>1.85</v>
      </c>
      <c r="CD52" s="159"/>
      <c r="CE52" s="101"/>
      <c r="CF52" s="160"/>
      <c r="CG52" s="157"/>
      <c r="CH52" s="160"/>
      <c r="CI52" s="158"/>
    </row>
    <row r="53" spans="2:87" s="108" customFormat="1">
      <c r="B53" s="109"/>
      <c r="C53" s="141">
        <f t="shared" si="1"/>
        <v>600</v>
      </c>
      <c r="D53" s="141">
        <f t="shared" si="2"/>
        <v>0</v>
      </c>
      <c r="E53" s="141">
        <f>IFERROR(DGET($BV$30:$CC$82,F53,G52:G53),"")</f>
        <v>1.25</v>
      </c>
      <c r="F53" s="142" t="str">
        <f t="shared" si="42"/>
        <v>DESCONTÍNUO</v>
      </c>
      <c r="G53" s="142" t="str">
        <f>IF(Q53&gt;0,IF(AND(S53&gt;0,S53&lt;2),CONCATENATE(Q53," ","0-2"),IF(AND(S53&gt;=2,S53&lt;8),CONCATENATE(Q53," ","2-8"),)))</f>
        <v>600 0-2</v>
      </c>
      <c r="H53" s="80">
        <f t="shared" si="3"/>
        <v>0</v>
      </c>
      <c r="I53" s="80" t="str">
        <f t="shared" si="4"/>
        <v>BSTC600</v>
      </c>
      <c r="J53" s="76" t="s">
        <v>198</v>
      </c>
      <c r="K53" s="76" t="s">
        <v>177</v>
      </c>
      <c r="L53" s="76" t="s">
        <v>201</v>
      </c>
      <c r="M53" s="80"/>
      <c r="N53" s="79">
        <v>80</v>
      </c>
      <c r="O53" s="148">
        <v>3.5400000000000001E-2</v>
      </c>
      <c r="P53" s="77">
        <f t="shared" si="5"/>
        <v>80.050110705732322</v>
      </c>
      <c r="Q53" s="81">
        <v>600</v>
      </c>
      <c r="R53" s="77"/>
      <c r="S53" s="146">
        <f t="shared" si="6"/>
        <v>1.9</v>
      </c>
      <c r="T53" s="141" t="b">
        <f t="shared" si="43"/>
        <v>0</v>
      </c>
      <c r="U53" s="649">
        <f t="shared" si="7"/>
        <v>0</v>
      </c>
      <c r="V53" s="650"/>
      <c r="W53" s="649">
        <f t="shared" si="8"/>
        <v>0</v>
      </c>
      <c r="X53" s="650"/>
      <c r="Y53" s="649">
        <f t="shared" si="9"/>
        <v>0</v>
      </c>
      <c r="Z53" s="650"/>
      <c r="AA53" s="649">
        <f t="shared" si="10"/>
        <v>150.0939575732481</v>
      </c>
      <c r="AB53" s="650"/>
      <c r="AC53" s="649">
        <f t="shared" si="11"/>
        <v>40.025055352866154</v>
      </c>
      <c r="AD53" s="650"/>
      <c r="AE53" s="649">
        <f t="shared" si="12"/>
        <v>0</v>
      </c>
      <c r="AF53" s="650"/>
      <c r="AG53" s="649">
        <f t="shared" si="13"/>
        <v>0</v>
      </c>
      <c r="AH53" s="650"/>
      <c r="AI53" s="649">
        <f t="shared" si="14"/>
        <v>0</v>
      </c>
      <c r="AJ53" s="650"/>
      <c r="AK53" s="649">
        <f t="shared" si="15"/>
        <v>0</v>
      </c>
      <c r="AL53" s="650"/>
      <c r="AM53" s="649">
        <f t="shared" si="16"/>
        <v>0</v>
      </c>
      <c r="AN53" s="650"/>
      <c r="AO53" s="649">
        <f t="shared" si="17"/>
        <v>0</v>
      </c>
      <c r="AP53" s="650"/>
      <c r="AQ53" s="649">
        <f t="shared" si="18"/>
        <v>0</v>
      </c>
      <c r="AR53" s="650"/>
      <c r="AS53" s="651">
        <f t="shared" si="19"/>
        <v>0</v>
      </c>
      <c r="AT53" s="652"/>
      <c r="AU53" s="141">
        <f t="shared" si="20"/>
        <v>0</v>
      </c>
      <c r="AV53" s="141">
        <f t="shared" si="21"/>
        <v>304.19042068178283</v>
      </c>
      <c r="AW53" s="141">
        <f t="shared" si="22"/>
        <v>0</v>
      </c>
      <c r="AX53" s="141">
        <f t="shared" si="23"/>
        <v>0</v>
      </c>
      <c r="AY53" s="141">
        <f t="shared" si="24"/>
        <v>0</v>
      </c>
      <c r="AZ53" s="141">
        <f t="shared" si="25"/>
        <v>0</v>
      </c>
      <c r="BA53" s="141">
        <f t="shared" si="26"/>
        <v>190.11901292611427</v>
      </c>
      <c r="BB53" s="141">
        <f t="shared" si="27"/>
        <v>147.47284967558514</v>
      </c>
      <c r="BC53" s="141">
        <f t="shared" si="28"/>
        <v>42.646163250529128</v>
      </c>
      <c r="BD53" s="141">
        <f t="shared" si="29"/>
        <v>0</v>
      </c>
      <c r="BE53" s="141">
        <f t="shared" si="30"/>
        <v>100.0626383821654</v>
      </c>
      <c r="BF53" s="141">
        <f t="shared" si="31"/>
        <v>0</v>
      </c>
      <c r="BG53" s="141">
        <f t="shared" si="32"/>
        <v>0</v>
      </c>
      <c r="BH53" s="141">
        <f t="shared" si="33"/>
        <v>0</v>
      </c>
      <c r="BI53" s="141">
        <f t="shared" si="34"/>
        <v>0</v>
      </c>
      <c r="BJ53" s="147">
        <f t="shared" si="35"/>
        <v>0</v>
      </c>
      <c r="BK53" s="141">
        <f t="shared" si="36"/>
        <v>20.012527676433081</v>
      </c>
      <c r="BL53" s="141">
        <f t="shared" si="37"/>
        <v>52.833073065783339</v>
      </c>
      <c r="BM53" s="141">
        <f t="shared" si="38"/>
        <v>100.0626383821654</v>
      </c>
      <c r="BN53" s="141">
        <f t="shared" si="39"/>
        <v>0</v>
      </c>
      <c r="BO53" s="141">
        <f t="shared" si="40"/>
        <v>0</v>
      </c>
      <c r="BP53" s="141">
        <f t="shared" si="41"/>
        <v>0</v>
      </c>
      <c r="BS53" s="153"/>
      <c r="BT53" s="154">
        <v>700</v>
      </c>
      <c r="BU53" s="155" t="s">
        <v>537</v>
      </c>
      <c r="BV53" s="156" t="s">
        <v>561</v>
      </c>
      <c r="BW53" s="157">
        <v>1.3</v>
      </c>
      <c r="BX53" s="158">
        <v>1.5</v>
      </c>
      <c r="BY53" s="157">
        <v>1.5</v>
      </c>
      <c r="BZ53" s="158">
        <v>1.6</v>
      </c>
      <c r="CA53" s="158">
        <v>2.0499999999999998</v>
      </c>
      <c r="CB53" s="158">
        <v>2.0499999999999998</v>
      </c>
      <c r="CC53" s="158">
        <v>2.0499999999999998</v>
      </c>
      <c r="CD53" s="159"/>
      <c r="CE53" s="163"/>
    </row>
    <row r="54" spans="2:87" s="108" customFormat="1">
      <c r="B54" s="109"/>
      <c r="C54" s="141">
        <f t="shared" si="1"/>
        <v>800</v>
      </c>
      <c r="D54" s="141">
        <f t="shared" si="2"/>
        <v>1</v>
      </c>
      <c r="E54" s="141"/>
      <c r="F54" s="142">
        <f t="shared" si="42"/>
        <v>0</v>
      </c>
      <c r="G54" s="143" t="s">
        <v>146</v>
      </c>
      <c r="H54" s="80">
        <f t="shared" si="3"/>
        <v>0</v>
      </c>
      <c r="I54" s="80" t="str">
        <f t="shared" si="4"/>
        <v/>
      </c>
      <c r="J54" s="144"/>
      <c r="K54" s="144"/>
      <c r="L54" s="144"/>
      <c r="M54" s="76" t="s">
        <v>370</v>
      </c>
      <c r="N54" s="77"/>
      <c r="O54" s="145"/>
      <c r="P54" s="77">
        <f t="shared" si="5"/>
        <v>0</v>
      </c>
      <c r="Q54" s="78"/>
      <c r="R54" s="79">
        <v>2</v>
      </c>
      <c r="S54" s="146">
        <f t="shared" si="6"/>
        <v>0</v>
      </c>
      <c r="T54" s="141">
        <f t="shared" si="43"/>
        <v>0.5</v>
      </c>
      <c r="U54" s="649">
        <f t="shared" si="7"/>
        <v>0</v>
      </c>
      <c r="V54" s="650"/>
      <c r="W54" s="649">
        <f t="shared" si="8"/>
        <v>0</v>
      </c>
      <c r="X54" s="650"/>
      <c r="Y54" s="649">
        <f t="shared" si="9"/>
        <v>0</v>
      </c>
      <c r="Z54" s="650"/>
      <c r="AA54" s="649">
        <f t="shared" si="10"/>
        <v>0</v>
      </c>
      <c r="AB54" s="650"/>
      <c r="AC54" s="649">
        <f t="shared" si="11"/>
        <v>0</v>
      </c>
      <c r="AD54" s="650"/>
      <c r="AE54" s="649">
        <f t="shared" si="12"/>
        <v>0</v>
      </c>
      <c r="AF54" s="650"/>
      <c r="AG54" s="649">
        <f t="shared" si="13"/>
        <v>0</v>
      </c>
      <c r="AH54" s="650"/>
      <c r="AI54" s="649">
        <f t="shared" si="14"/>
        <v>0</v>
      </c>
      <c r="AJ54" s="650"/>
      <c r="AK54" s="649">
        <f t="shared" si="15"/>
        <v>0</v>
      </c>
      <c r="AL54" s="650"/>
      <c r="AM54" s="649">
        <f t="shared" si="16"/>
        <v>0</v>
      </c>
      <c r="AN54" s="650"/>
      <c r="AO54" s="649">
        <f t="shared" si="17"/>
        <v>0</v>
      </c>
      <c r="AP54" s="650"/>
      <c r="AQ54" s="649">
        <f t="shared" si="18"/>
        <v>0</v>
      </c>
      <c r="AR54" s="650"/>
      <c r="AS54" s="651">
        <f t="shared" si="19"/>
        <v>0</v>
      </c>
      <c r="AT54" s="652"/>
      <c r="AU54" s="141">
        <f t="shared" si="20"/>
        <v>0</v>
      </c>
      <c r="AV54" s="141">
        <f t="shared" si="21"/>
        <v>0</v>
      </c>
      <c r="AW54" s="141">
        <f t="shared" si="22"/>
        <v>0</v>
      </c>
      <c r="AX54" s="141">
        <f t="shared" si="23"/>
        <v>0</v>
      </c>
      <c r="AY54" s="141">
        <f t="shared" si="24"/>
        <v>0</v>
      </c>
      <c r="AZ54" s="141">
        <f t="shared" si="25"/>
        <v>0</v>
      </c>
      <c r="BA54" s="141">
        <f t="shared" si="26"/>
        <v>0</v>
      </c>
      <c r="BB54" s="141">
        <f t="shared" si="27"/>
        <v>0</v>
      </c>
      <c r="BC54" s="141">
        <f t="shared" si="28"/>
        <v>0</v>
      </c>
      <c r="BD54" s="141">
        <f t="shared" si="29"/>
        <v>0</v>
      </c>
      <c r="BE54" s="141">
        <f t="shared" si="30"/>
        <v>0</v>
      </c>
      <c r="BF54" s="141">
        <f t="shared" si="31"/>
        <v>0</v>
      </c>
      <c r="BG54" s="141">
        <f t="shared" si="32"/>
        <v>0</v>
      </c>
      <c r="BH54" s="141">
        <f t="shared" si="33"/>
        <v>0</v>
      </c>
      <c r="BI54" s="141">
        <f t="shared" si="34"/>
        <v>0</v>
      </c>
      <c r="BJ54" s="147">
        <f t="shared" si="35"/>
        <v>0</v>
      </c>
      <c r="BK54" s="141">
        <f t="shared" si="36"/>
        <v>0</v>
      </c>
      <c r="BL54" s="141">
        <f t="shared" si="37"/>
        <v>0</v>
      </c>
      <c r="BM54" s="141">
        <f t="shared" si="38"/>
        <v>0</v>
      </c>
      <c r="BN54" s="141">
        <f t="shared" si="39"/>
        <v>0</v>
      </c>
      <c r="BO54" s="141">
        <f t="shared" si="40"/>
        <v>0</v>
      </c>
      <c r="BP54" s="141">
        <f t="shared" si="41"/>
        <v>0</v>
      </c>
      <c r="BS54" s="153"/>
      <c r="BT54" s="154">
        <v>700</v>
      </c>
      <c r="BU54" s="155" t="s">
        <v>539</v>
      </c>
      <c r="BV54" s="156" t="s">
        <v>562</v>
      </c>
      <c r="BW54" s="157">
        <v>1.4</v>
      </c>
      <c r="BX54" s="158">
        <v>1.7</v>
      </c>
      <c r="BY54" s="157">
        <v>1.7</v>
      </c>
      <c r="BZ54" s="158">
        <v>1.9</v>
      </c>
      <c r="CA54" s="158">
        <v>2.0499999999999998</v>
      </c>
      <c r="CB54" s="158">
        <v>2.0499999999999998</v>
      </c>
      <c r="CC54" s="158">
        <v>2.0499999999999998</v>
      </c>
      <c r="CD54" s="159"/>
      <c r="CE54" s="163"/>
    </row>
    <row r="55" spans="2:87" s="108" customFormat="1">
      <c r="B55" s="109"/>
      <c r="C55" s="141">
        <f t="shared" si="1"/>
        <v>800</v>
      </c>
      <c r="D55" s="141">
        <f t="shared" si="2"/>
        <v>0</v>
      </c>
      <c r="E55" s="141">
        <f>IFERROR(DGET($BV$30:$CC$82,F55,G54:G55),"")</f>
        <v>2.15</v>
      </c>
      <c r="F55" s="142" t="str">
        <f t="shared" si="42"/>
        <v>PRANCHÃO DE MADEIRA</v>
      </c>
      <c r="G55" s="142" t="str">
        <f>IF(Q55&gt;0,IF(AND(S55&gt;0,S55&lt;2),CONCATENATE(Q55," ","0-2"),IF(AND(S55&gt;=2,S55&lt;8),CONCATENATE(Q55," ","2-8"),)))</f>
        <v>800 2-8</v>
      </c>
      <c r="H55" s="80">
        <f t="shared" si="3"/>
        <v>0</v>
      </c>
      <c r="I55" s="80" t="str">
        <f t="shared" si="4"/>
        <v>BSTC800</v>
      </c>
      <c r="J55" s="76" t="s">
        <v>198</v>
      </c>
      <c r="K55" s="76" t="s">
        <v>177</v>
      </c>
      <c r="L55" s="76" t="s">
        <v>202</v>
      </c>
      <c r="M55" s="80"/>
      <c r="N55" s="79">
        <v>43</v>
      </c>
      <c r="O55" s="148">
        <v>0.01</v>
      </c>
      <c r="P55" s="77">
        <f t="shared" si="5"/>
        <v>43.002149946252686</v>
      </c>
      <c r="Q55" s="81">
        <v>800</v>
      </c>
      <c r="R55" s="77"/>
      <c r="S55" s="146">
        <f t="shared" si="6"/>
        <v>2.4</v>
      </c>
      <c r="T55" s="141" t="b">
        <f t="shared" si="43"/>
        <v>0</v>
      </c>
      <c r="U55" s="649">
        <f t="shared" si="7"/>
        <v>0</v>
      </c>
      <c r="V55" s="650"/>
      <c r="W55" s="649">
        <f t="shared" si="8"/>
        <v>0</v>
      </c>
      <c r="X55" s="650"/>
      <c r="Y55" s="649">
        <f t="shared" si="9"/>
        <v>0</v>
      </c>
      <c r="Z55" s="650"/>
      <c r="AA55" s="649">
        <f t="shared" si="10"/>
        <v>0</v>
      </c>
      <c r="AB55" s="650"/>
      <c r="AC55" s="649">
        <f t="shared" si="11"/>
        <v>0</v>
      </c>
      <c r="AD55" s="650"/>
      <c r="AE55" s="649">
        <f t="shared" si="12"/>
        <v>0</v>
      </c>
      <c r="AF55" s="650"/>
      <c r="AG55" s="649">
        <f t="shared" si="13"/>
        <v>0</v>
      </c>
      <c r="AH55" s="650"/>
      <c r="AI55" s="649">
        <f t="shared" si="14"/>
        <v>0</v>
      </c>
      <c r="AJ55" s="650"/>
      <c r="AK55" s="649">
        <f t="shared" si="15"/>
        <v>0</v>
      </c>
      <c r="AL55" s="650"/>
      <c r="AM55" s="649">
        <f t="shared" si="16"/>
        <v>138.6819335766649</v>
      </c>
      <c r="AN55" s="650"/>
      <c r="AO55" s="649">
        <f t="shared" si="17"/>
        <v>83.209160145998936</v>
      </c>
      <c r="AP55" s="650"/>
      <c r="AQ55" s="649">
        <f t="shared" si="18"/>
        <v>0</v>
      </c>
      <c r="AR55" s="650"/>
      <c r="AS55" s="651">
        <f t="shared" si="19"/>
        <v>0</v>
      </c>
      <c r="AT55" s="652"/>
      <c r="AU55" s="141">
        <f t="shared" si="20"/>
        <v>0</v>
      </c>
      <c r="AV55" s="141">
        <f t="shared" si="21"/>
        <v>0</v>
      </c>
      <c r="AW55" s="141">
        <f t="shared" si="22"/>
        <v>0</v>
      </c>
      <c r="AX55" s="141">
        <f t="shared" si="23"/>
        <v>206.41031974201289</v>
      </c>
      <c r="AY55" s="141">
        <f t="shared" si="24"/>
        <v>0</v>
      </c>
      <c r="AZ55" s="141">
        <f t="shared" si="25"/>
        <v>0</v>
      </c>
      <c r="BA55" s="141">
        <f t="shared" si="26"/>
        <v>221.89109372266384</v>
      </c>
      <c r="BB55" s="141">
        <f t="shared" si="27"/>
        <v>144.80308215444362</v>
      </c>
      <c r="BC55" s="141">
        <f t="shared" si="28"/>
        <v>221.89109372266384</v>
      </c>
      <c r="BD55" s="141">
        <f t="shared" si="29"/>
        <v>144.80308215444362</v>
      </c>
      <c r="BE55" s="141">
        <f t="shared" si="30"/>
        <v>92.454622384443269</v>
      </c>
      <c r="BF55" s="141">
        <f t="shared" si="31"/>
        <v>0</v>
      </c>
      <c r="BG55" s="141">
        <f t="shared" si="32"/>
        <v>27.73638671533298</v>
      </c>
      <c r="BH55" s="141">
        <f t="shared" si="33"/>
        <v>9.2454622384443272</v>
      </c>
      <c r="BI55" s="141">
        <f t="shared" si="34"/>
        <v>43.002149946252686</v>
      </c>
      <c r="BJ55" s="147">
        <f t="shared" si="35"/>
        <v>0</v>
      </c>
      <c r="BK55" s="141">
        <f t="shared" si="36"/>
        <v>18.490924476888654</v>
      </c>
      <c r="BL55" s="141">
        <f t="shared" si="37"/>
        <v>36.981848953777309</v>
      </c>
      <c r="BM55" s="141">
        <f t="shared" si="38"/>
        <v>92.454622384443269</v>
      </c>
      <c r="BN55" s="141">
        <f t="shared" si="39"/>
        <v>0</v>
      </c>
      <c r="BO55" s="141">
        <f t="shared" si="40"/>
        <v>0</v>
      </c>
      <c r="BP55" s="141">
        <f t="shared" si="41"/>
        <v>0</v>
      </c>
      <c r="BS55" s="153"/>
      <c r="BT55" s="154">
        <v>800</v>
      </c>
      <c r="BU55" s="155" t="s">
        <v>537</v>
      </c>
      <c r="BV55" s="156" t="s">
        <v>563</v>
      </c>
      <c r="BW55" s="157">
        <v>1.4</v>
      </c>
      <c r="BX55" s="158">
        <v>1.6</v>
      </c>
      <c r="BY55" s="157">
        <v>1.6</v>
      </c>
      <c r="BZ55" s="158">
        <v>1.7</v>
      </c>
      <c r="CA55" s="158">
        <v>2.15</v>
      </c>
      <c r="CB55" s="158">
        <v>2.15</v>
      </c>
      <c r="CC55" s="158">
        <v>2.15</v>
      </c>
      <c r="CD55" s="159"/>
      <c r="CE55" s="163"/>
    </row>
    <row r="56" spans="2:87" s="108" customFormat="1">
      <c r="B56" s="109"/>
      <c r="C56" s="141">
        <f t="shared" si="1"/>
        <v>800</v>
      </c>
      <c r="D56" s="141">
        <f t="shared" si="2"/>
        <v>0</v>
      </c>
      <c r="E56" s="141"/>
      <c r="F56" s="142">
        <f t="shared" si="42"/>
        <v>0</v>
      </c>
      <c r="G56" s="143" t="s">
        <v>146</v>
      </c>
      <c r="H56" s="80">
        <f t="shared" si="3"/>
        <v>0</v>
      </c>
      <c r="I56" s="80" t="str">
        <f t="shared" si="4"/>
        <v/>
      </c>
      <c r="J56" s="144"/>
      <c r="K56" s="144"/>
      <c r="L56" s="144"/>
      <c r="M56" s="76" t="s">
        <v>371</v>
      </c>
      <c r="N56" s="77"/>
      <c r="O56" s="145"/>
      <c r="P56" s="77">
        <f t="shared" si="5"/>
        <v>0</v>
      </c>
      <c r="Q56" s="78"/>
      <c r="R56" s="79">
        <v>2</v>
      </c>
      <c r="S56" s="146">
        <f t="shared" si="6"/>
        <v>0</v>
      </c>
      <c r="T56" s="141">
        <f t="shared" si="43"/>
        <v>0.5</v>
      </c>
      <c r="U56" s="649">
        <f t="shared" si="7"/>
        <v>0</v>
      </c>
      <c r="V56" s="650"/>
      <c r="W56" s="649">
        <f t="shared" si="8"/>
        <v>0</v>
      </c>
      <c r="X56" s="650"/>
      <c r="Y56" s="649">
        <f t="shared" si="9"/>
        <v>0</v>
      </c>
      <c r="Z56" s="650"/>
      <c r="AA56" s="649">
        <f t="shared" si="10"/>
        <v>0</v>
      </c>
      <c r="AB56" s="650"/>
      <c r="AC56" s="649">
        <f t="shared" si="11"/>
        <v>0</v>
      </c>
      <c r="AD56" s="650"/>
      <c r="AE56" s="649">
        <f t="shared" si="12"/>
        <v>0</v>
      </c>
      <c r="AF56" s="650"/>
      <c r="AG56" s="649">
        <f t="shared" si="13"/>
        <v>0</v>
      </c>
      <c r="AH56" s="650"/>
      <c r="AI56" s="649">
        <f t="shared" si="14"/>
        <v>0</v>
      </c>
      <c r="AJ56" s="650"/>
      <c r="AK56" s="649">
        <f t="shared" si="15"/>
        <v>0</v>
      </c>
      <c r="AL56" s="650"/>
      <c r="AM56" s="649">
        <f t="shared" si="16"/>
        <v>0</v>
      </c>
      <c r="AN56" s="650"/>
      <c r="AO56" s="649">
        <f t="shared" si="17"/>
        <v>0</v>
      </c>
      <c r="AP56" s="650"/>
      <c r="AQ56" s="649">
        <f t="shared" si="18"/>
        <v>0</v>
      </c>
      <c r="AR56" s="650"/>
      <c r="AS56" s="651">
        <f t="shared" si="19"/>
        <v>0</v>
      </c>
      <c r="AT56" s="652"/>
      <c r="AU56" s="141">
        <f t="shared" si="20"/>
        <v>0</v>
      </c>
      <c r="AV56" s="141">
        <f t="shared" si="21"/>
        <v>0</v>
      </c>
      <c r="AW56" s="141">
        <f t="shared" si="22"/>
        <v>0</v>
      </c>
      <c r="AX56" s="141">
        <f t="shared" si="23"/>
        <v>0</v>
      </c>
      <c r="AY56" s="141">
        <f t="shared" si="24"/>
        <v>0</v>
      </c>
      <c r="AZ56" s="141">
        <f t="shared" si="25"/>
        <v>0</v>
      </c>
      <c r="BA56" s="141">
        <f t="shared" si="26"/>
        <v>0</v>
      </c>
      <c r="BB56" s="141">
        <f t="shared" si="27"/>
        <v>0</v>
      </c>
      <c r="BC56" s="141">
        <f t="shared" si="28"/>
        <v>0</v>
      </c>
      <c r="BD56" s="141">
        <f t="shared" si="29"/>
        <v>0</v>
      </c>
      <c r="BE56" s="141">
        <f t="shared" si="30"/>
        <v>0</v>
      </c>
      <c r="BF56" s="141">
        <f t="shared" si="31"/>
        <v>0</v>
      </c>
      <c r="BG56" s="141">
        <f t="shared" si="32"/>
        <v>0</v>
      </c>
      <c r="BH56" s="141">
        <f t="shared" si="33"/>
        <v>0</v>
      </c>
      <c r="BI56" s="141">
        <f t="shared" si="34"/>
        <v>0</v>
      </c>
      <c r="BJ56" s="147">
        <f t="shared" si="35"/>
        <v>0</v>
      </c>
      <c r="BK56" s="141">
        <f t="shared" si="36"/>
        <v>0</v>
      </c>
      <c r="BL56" s="141">
        <f t="shared" si="37"/>
        <v>0</v>
      </c>
      <c r="BM56" s="141">
        <f t="shared" si="38"/>
        <v>0</v>
      </c>
      <c r="BN56" s="141">
        <f t="shared" si="39"/>
        <v>0</v>
      </c>
      <c r="BO56" s="141">
        <f t="shared" si="40"/>
        <v>0</v>
      </c>
      <c r="BP56" s="141">
        <f t="shared" si="41"/>
        <v>0</v>
      </c>
      <c r="BS56" s="153"/>
      <c r="BT56" s="154">
        <v>800</v>
      </c>
      <c r="BU56" s="155" t="s">
        <v>539</v>
      </c>
      <c r="BV56" s="156" t="s">
        <v>564</v>
      </c>
      <c r="BW56" s="157">
        <v>1.5</v>
      </c>
      <c r="BX56" s="158">
        <v>1.8</v>
      </c>
      <c r="BY56" s="157">
        <v>1.8</v>
      </c>
      <c r="BZ56" s="158">
        <v>2</v>
      </c>
      <c r="CA56" s="158">
        <v>2.15</v>
      </c>
      <c r="CB56" s="158">
        <v>2.15</v>
      </c>
      <c r="CC56" s="158">
        <v>2.15</v>
      </c>
      <c r="CD56" s="159"/>
      <c r="CE56" s="101"/>
      <c r="CF56" s="658" t="s">
        <v>192</v>
      </c>
      <c r="CG56" s="658"/>
      <c r="CH56" s="658"/>
      <c r="CI56" s="658"/>
    </row>
    <row r="57" spans="2:87" s="108" customFormat="1">
      <c r="B57" s="109"/>
      <c r="C57" s="141" t="e">
        <f t="shared" si="1"/>
        <v>#NUM!</v>
      </c>
      <c r="D57" s="141">
        <f t="shared" si="2"/>
        <v>0</v>
      </c>
      <c r="E57" s="141" t="str">
        <f>IFERROR(DGET($BV$30:$CC$82,F57,G56:G57),"")</f>
        <v/>
      </c>
      <c r="F57" s="142">
        <f t="shared" si="42"/>
        <v>0</v>
      </c>
      <c r="G57" s="142" t="b">
        <f>IF(Q57&gt;0,IF(AND(S57&gt;0,S57&lt;2),CONCATENATE(Q57," ","0-2"),IF(AND(S57&gt;=2,S57&lt;8),CONCATENATE(Q57," ","2-8"),)))</f>
        <v>0</v>
      </c>
      <c r="H57" s="80">
        <f t="shared" si="3"/>
        <v>0</v>
      </c>
      <c r="I57" s="80" t="str">
        <f t="shared" si="4"/>
        <v/>
      </c>
      <c r="J57" s="76"/>
      <c r="K57" s="76"/>
      <c r="L57" s="76"/>
      <c r="M57" s="80"/>
      <c r="N57" s="79"/>
      <c r="O57" s="148"/>
      <c r="P57" s="77">
        <f t="shared" si="5"/>
        <v>0</v>
      </c>
      <c r="Q57" s="81"/>
      <c r="R57" s="77"/>
      <c r="S57" s="146">
        <f t="shared" si="6"/>
        <v>0</v>
      </c>
      <c r="T57" s="141" t="b">
        <f t="shared" si="43"/>
        <v>0</v>
      </c>
      <c r="U57" s="649">
        <f t="shared" si="7"/>
        <v>0</v>
      </c>
      <c r="V57" s="650"/>
      <c r="W57" s="649">
        <f t="shared" si="8"/>
        <v>0</v>
      </c>
      <c r="X57" s="650"/>
      <c r="Y57" s="649">
        <f t="shared" si="9"/>
        <v>0</v>
      </c>
      <c r="Z57" s="650"/>
      <c r="AA57" s="649">
        <f t="shared" si="10"/>
        <v>0</v>
      </c>
      <c r="AB57" s="650"/>
      <c r="AC57" s="649">
        <f t="shared" si="11"/>
        <v>0</v>
      </c>
      <c r="AD57" s="650"/>
      <c r="AE57" s="649">
        <f t="shared" si="12"/>
        <v>0</v>
      </c>
      <c r="AF57" s="650"/>
      <c r="AG57" s="649">
        <f t="shared" si="13"/>
        <v>0</v>
      </c>
      <c r="AH57" s="650"/>
      <c r="AI57" s="649">
        <f t="shared" si="14"/>
        <v>0</v>
      </c>
      <c r="AJ57" s="650"/>
      <c r="AK57" s="649">
        <f t="shared" si="15"/>
        <v>0</v>
      </c>
      <c r="AL57" s="650"/>
      <c r="AM57" s="649">
        <f t="shared" si="16"/>
        <v>0</v>
      </c>
      <c r="AN57" s="650"/>
      <c r="AO57" s="649">
        <f t="shared" si="17"/>
        <v>0</v>
      </c>
      <c r="AP57" s="650"/>
      <c r="AQ57" s="649">
        <f t="shared" si="18"/>
        <v>0</v>
      </c>
      <c r="AR57" s="650"/>
      <c r="AS57" s="651">
        <f t="shared" si="19"/>
        <v>0</v>
      </c>
      <c r="AT57" s="652"/>
      <c r="AU57" s="141">
        <f t="shared" si="20"/>
        <v>0</v>
      </c>
      <c r="AV57" s="141">
        <f t="shared" si="21"/>
        <v>0</v>
      </c>
      <c r="AW57" s="141">
        <f t="shared" si="22"/>
        <v>0</v>
      </c>
      <c r="AX57" s="141">
        <f t="shared" si="23"/>
        <v>0</v>
      </c>
      <c r="AY57" s="141">
        <f t="shared" si="24"/>
        <v>0</v>
      </c>
      <c r="AZ57" s="141">
        <f t="shared" si="25"/>
        <v>0</v>
      </c>
      <c r="BA57" s="141">
        <f t="shared" si="26"/>
        <v>0</v>
      </c>
      <c r="BB57" s="141">
        <f t="shared" si="27"/>
        <v>0</v>
      </c>
      <c r="BC57" s="141">
        <f t="shared" si="28"/>
        <v>0</v>
      </c>
      <c r="BD57" s="141">
        <f t="shared" si="29"/>
        <v>0</v>
      </c>
      <c r="BE57" s="141">
        <f t="shared" si="30"/>
        <v>0</v>
      </c>
      <c r="BF57" s="141">
        <f t="shared" si="31"/>
        <v>0</v>
      </c>
      <c r="BG57" s="141">
        <f t="shared" si="32"/>
        <v>0</v>
      </c>
      <c r="BH57" s="141">
        <f t="shared" si="33"/>
        <v>0</v>
      </c>
      <c r="BI57" s="141">
        <f t="shared" si="34"/>
        <v>0</v>
      </c>
      <c r="BJ57" s="147">
        <f t="shared" si="35"/>
        <v>0</v>
      </c>
      <c r="BK57" s="141">
        <f t="shared" si="36"/>
        <v>0</v>
      </c>
      <c r="BL57" s="141">
        <f t="shared" si="37"/>
        <v>0</v>
      </c>
      <c r="BM57" s="141">
        <f t="shared" si="38"/>
        <v>0</v>
      </c>
      <c r="BN57" s="141">
        <f t="shared" si="39"/>
        <v>0</v>
      </c>
      <c r="BO57" s="141">
        <f t="shared" si="40"/>
        <v>0</v>
      </c>
      <c r="BP57" s="141">
        <f t="shared" si="41"/>
        <v>0</v>
      </c>
      <c r="BS57" s="153"/>
      <c r="BT57" s="154">
        <v>900</v>
      </c>
      <c r="BU57" s="155" t="s">
        <v>537</v>
      </c>
      <c r="BV57" s="156" t="s">
        <v>565</v>
      </c>
      <c r="BW57" s="157">
        <v>1.6</v>
      </c>
      <c r="BX57" s="158">
        <v>1.9</v>
      </c>
      <c r="BY57" s="157">
        <v>1.9</v>
      </c>
      <c r="BZ57" s="158">
        <v>2.0499999999999998</v>
      </c>
      <c r="CA57" s="158">
        <v>2.25</v>
      </c>
      <c r="CB57" s="158">
        <v>2.25</v>
      </c>
      <c r="CC57" s="158">
        <v>2.25</v>
      </c>
      <c r="CD57" s="159"/>
      <c r="CE57" s="101"/>
      <c r="CF57" s="151" t="str">
        <f>'[18]Critérios adotados drenagem'!Q7</f>
        <v>DN (mm)</v>
      </c>
      <c r="CG57" s="151" t="str">
        <f>'[18]Critérios adotados drenagem'!R7</f>
        <v>BERÇO DE CONCRETO (m³/m)</v>
      </c>
      <c r="CH57" s="151" t="str">
        <f>'[18]Critérios adotados drenagem'!Q7</f>
        <v>DN (mm)</v>
      </c>
      <c r="CI57" s="151" t="str">
        <f>'[18]Critérios adotados drenagem'!S7</f>
        <v>FORMA (m²/m)</v>
      </c>
    </row>
    <row r="58" spans="2:87" s="108" customFormat="1">
      <c r="B58" s="109"/>
      <c r="C58" s="141">
        <f t="shared" si="1"/>
        <v>800</v>
      </c>
      <c r="D58" s="141">
        <f t="shared" si="2"/>
        <v>0</v>
      </c>
      <c r="E58" s="141"/>
      <c r="F58" s="142">
        <f t="shared" si="42"/>
        <v>0</v>
      </c>
      <c r="G58" s="143" t="s">
        <v>146</v>
      </c>
      <c r="H58" s="80">
        <f t="shared" si="3"/>
        <v>0</v>
      </c>
      <c r="I58" s="80" t="str">
        <f t="shared" si="4"/>
        <v/>
      </c>
      <c r="J58" s="144"/>
      <c r="K58" s="210" t="s">
        <v>213</v>
      </c>
      <c r="L58" s="144"/>
      <c r="M58" s="76" t="s">
        <v>372</v>
      </c>
      <c r="N58" s="77"/>
      <c r="O58" s="145"/>
      <c r="P58" s="77">
        <f t="shared" si="5"/>
        <v>0</v>
      </c>
      <c r="Q58" s="78"/>
      <c r="R58" s="79">
        <v>0.5</v>
      </c>
      <c r="S58" s="146">
        <f t="shared" si="6"/>
        <v>0</v>
      </c>
      <c r="T58" s="141">
        <f t="shared" si="43"/>
        <v>0</v>
      </c>
      <c r="U58" s="649">
        <f t="shared" si="7"/>
        <v>0</v>
      </c>
      <c r="V58" s="650"/>
      <c r="W58" s="649">
        <f t="shared" si="8"/>
        <v>0</v>
      </c>
      <c r="X58" s="650"/>
      <c r="Y58" s="649">
        <f t="shared" si="9"/>
        <v>0</v>
      </c>
      <c r="Z58" s="650"/>
      <c r="AA58" s="649">
        <f t="shared" si="10"/>
        <v>0</v>
      </c>
      <c r="AB58" s="650"/>
      <c r="AC58" s="649">
        <f t="shared" si="11"/>
        <v>0</v>
      </c>
      <c r="AD58" s="650"/>
      <c r="AE58" s="649">
        <f t="shared" si="12"/>
        <v>0</v>
      </c>
      <c r="AF58" s="650"/>
      <c r="AG58" s="649">
        <f t="shared" si="13"/>
        <v>0</v>
      </c>
      <c r="AH58" s="650"/>
      <c r="AI58" s="649">
        <f t="shared" si="14"/>
        <v>0</v>
      </c>
      <c r="AJ58" s="650"/>
      <c r="AK58" s="649">
        <f t="shared" si="15"/>
        <v>0</v>
      </c>
      <c r="AL58" s="650"/>
      <c r="AM58" s="649">
        <f t="shared" si="16"/>
        <v>0</v>
      </c>
      <c r="AN58" s="650"/>
      <c r="AO58" s="649">
        <f t="shared" si="17"/>
        <v>0</v>
      </c>
      <c r="AP58" s="650"/>
      <c r="AQ58" s="649">
        <f t="shared" si="18"/>
        <v>0</v>
      </c>
      <c r="AR58" s="650"/>
      <c r="AS58" s="651">
        <f t="shared" si="19"/>
        <v>0</v>
      </c>
      <c r="AT58" s="652"/>
      <c r="AU58" s="141">
        <f t="shared" si="20"/>
        <v>0</v>
      </c>
      <c r="AV58" s="141">
        <f t="shared" si="21"/>
        <v>0</v>
      </c>
      <c r="AW58" s="141">
        <f t="shared" si="22"/>
        <v>0</v>
      </c>
      <c r="AX58" s="141">
        <f t="shared" si="23"/>
        <v>0</v>
      </c>
      <c r="AY58" s="141">
        <f t="shared" si="24"/>
        <v>0</v>
      </c>
      <c r="AZ58" s="141">
        <f t="shared" si="25"/>
        <v>0</v>
      </c>
      <c r="BA58" s="141">
        <f t="shared" si="26"/>
        <v>0</v>
      </c>
      <c r="BB58" s="141">
        <f t="shared" si="27"/>
        <v>0</v>
      </c>
      <c r="BC58" s="141">
        <f t="shared" si="28"/>
        <v>0</v>
      </c>
      <c r="BD58" s="141">
        <f t="shared" si="29"/>
        <v>0</v>
      </c>
      <c r="BE58" s="141">
        <f t="shared" si="30"/>
        <v>0</v>
      </c>
      <c r="BF58" s="141">
        <f t="shared" si="31"/>
        <v>0</v>
      </c>
      <c r="BG58" s="141">
        <f t="shared" si="32"/>
        <v>0</v>
      </c>
      <c r="BH58" s="141">
        <f t="shared" si="33"/>
        <v>0</v>
      </c>
      <c r="BI58" s="141">
        <f t="shared" si="34"/>
        <v>0</v>
      </c>
      <c r="BJ58" s="147">
        <f t="shared" si="35"/>
        <v>0</v>
      </c>
      <c r="BK58" s="141">
        <f t="shared" si="36"/>
        <v>0</v>
      </c>
      <c r="BL58" s="141">
        <f t="shared" si="37"/>
        <v>0</v>
      </c>
      <c r="BM58" s="141">
        <f t="shared" si="38"/>
        <v>0</v>
      </c>
      <c r="BN58" s="141">
        <f t="shared" si="39"/>
        <v>0</v>
      </c>
      <c r="BO58" s="141">
        <f t="shared" si="40"/>
        <v>0</v>
      </c>
      <c r="BP58" s="141">
        <f t="shared" si="41"/>
        <v>0</v>
      </c>
      <c r="BS58" s="153"/>
      <c r="BT58" s="154">
        <v>900</v>
      </c>
      <c r="BU58" s="155" t="s">
        <v>539</v>
      </c>
      <c r="BV58" s="156" t="s">
        <v>566</v>
      </c>
      <c r="BW58" s="157">
        <v>1.6</v>
      </c>
      <c r="BX58" s="158">
        <v>1.9</v>
      </c>
      <c r="BY58" s="157">
        <v>1.9</v>
      </c>
      <c r="BZ58" s="158">
        <v>2.0499999999999998</v>
      </c>
      <c r="CA58" s="158">
        <v>2.25</v>
      </c>
      <c r="CB58" s="158">
        <v>2.25</v>
      </c>
      <c r="CC58" s="158">
        <v>2.25</v>
      </c>
      <c r="CF58" s="166">
        <v>400</v>
      </c>
      <c r="CG58" s="167">
        <v>0.13</v>
      </c>
      <c r="CH58" s="166">
        <v>400</v>
      </c>
      <c r="CI58" s="167">
        <v>0.44</v>
      </c>
    </row>
    <row r="59" spans="2:87" s="108" customFormat="1">
      <c r="B59" s="109"/>
      <c r="C59" s="141">
        <f t="shared" si="1"/>
        <v>800</v>
      </c>
      <c r="D59" s="141">
        <f t="shared" si="2"/>
        <v>0</v>
      </c>
      <c r="E59" s="141">
        <f>IFERROR(DGET($BV$30:$CC$82,F59,G58:G59),"")</f>
        <v>2.15</v>
      </c>
      <c r="F59" s="142" t="str">
        <f t="shared" si="42"/>
        <v>PRANCHÃO DE MADEIRA</v>
      </c>
      <c r="G59" s="142" t="str">
        <f>IF(Q59&gt;0,IF(AND(S59&gt;0,S59&lt;2),CONCATENATE(Q59," ","0-2"),IF(AND(S59&gt;=2,S59&lt;8),CONCATENATE(Q59," ","2-8"),)))</f>
        <v>800 0-2</v>
      </c>
      <c r="H59" s="80">
        <f t="shared" si="3"/>
        <v>0</v>
      </c>
      <c r="I59" s="80" t="str">
        <f t="shared" si="4"/>
        <v>BSTC800</v>
      </c>
      <c r="J59" s="76" t="s">
        <v>198</v>
      </c>
      <c r="K59" s="76" t="s">
        <v>177</v>
      </c>
      <c r="L59" s="76" t="s">
        <v>202</v>
      </c>
      <c r="M59" s="80"/>
      <c r="N59" s="79">
        <v>18</v>
      </c>
      <c r="O59" s="148">
        <v>1.4999999999999999E-2</v>
      </c>
      <c r="P59" s="77">
        <f t="shared" si="5"/>
        <v>18.002024886106561</v>
      </c>
      <c r="Q59" s="81">
        <v>800</v>
      </c>
      <c r="R59" s="77"/>
      <c r="S59" s="146">
        <f t="shared" si="6"/>
        <v>1.7500000000000002</v>
      </c>
      <c r="T59" s="141" t="b">
        <f t="shared" si="43"/>
        <v>0</v>
      </c>
      <c r="U59" s="649">
        <f t="shared" si="7"/>
        <v>0</v>
      </c>
      <c r="V59" s="650"/>
      <c r="W59" s="649">
        <f t="shared" si="8"/>
        <v>0</v>
      </c>
      <c r="X59" s="650"/>
      <c r="Y59" s="649">
        <f t="shared" si="9"/>
        <v>0</v>
      </c>
      <c r="Z59" s="650"/>
      <c r="AA59" s="649">
        <f t="shared" si="10"/>
        <v>0</v>
      </c>
      <c r="AB59" s="650"/>
      <c r="AC59" s="649">
        <f t="shared" si="11"/>
        <v>0</v>
      </c>
      <c r="AD59" s="650"/>
      <c r="AE59" s="649">
        <f t="shared" si="12"/>
        <v>0</v>
      </c>
      <c r="AF59" s="650"/>
      <c r="AG59" s="649">
        <f t="shared" si="13"/>
        <v>0</v>
      </c>
      <c r="AH59" s="650"/>
      <c r="AI59" s="649">
        <f t="shared" si="14"/>
        <v>0</v>
      </c>
      <c r="AJ59" s="650"/>
      <c r="AK59" s="649">
        <f t="shared" si="15"/>
        <v>0</v>
      </c>
      <c r="AL59" s="650"/>
      <c r="AM59" s="649">
        <f t="shared" si="16"/>
        <v>58.056530257693659</v>
      </c>
      <c r="AN59" s="650"/>
      <c r="AO59" s="649">
        <f t="shared" si="17"/>
        <v>9.6760883762822854</v>
      </c>
      <c r="AP59" s="650"/>
      <c r="AQ59" s="649">
        <f t="shared" si="18"/>
        <v>0</v>
      </c>
      <c r="AR59" s="650"/>
      <c r="AS59" s="651">
        <f t="shared" si="19"/>
        <v>0</v>
      </c>
      <c r="AT59" s="652"/>
      <c r="AU59" s="141">
        <f t="shared" si="20"/>
        <v>0</v>
      </c>
      <c r="AV59" s="141">
        <f t="shared" si="21"/>
        <v>0</v>
      </c>
      <c r="AW59" s="141">
        <f t="shared" si="22"/>
        <v>0</v>
      </c>
      <c r="AX59" s="141">
        <f t="shared" si="23"/>
        <v>63.007087101372974</v>
      </c>
      <c r="AY59" s="141">
        <f t="shared" si="24"/>
        <v>0</v>
      </c>
      <c r="AZ59" s="141">
        <f t="shared" si="25"/>
        <v>0</v>
      </c>
      <c r="BA59" s="141">
        <f t="shared" si="26"/>
        <v>67.732618633975946</v>
      </c>
      <c r="BB59" s="141">
        <f t="shared" si="27"/>
        <v>35.4612018697892</v>
      </c>
      <c r="BC59" s="141">
        <f t="shared" si="28"/>
        <v>67.732618633975946</v>
      </c>
      <c r="BD59" s="141">
        <f t="shared" si="29"/>
        <v>35.4612018697892</v>
      </c>
      <c r="BE59" s="141">
        <f t="shared" si="30"/>
        <v>38.704353505129106</v>
      </c>
      <c r="BF59" s="141">
        <f t="shared" si="31"/>
        <v>0</v>
      </c>
      <c r="BG59" s="141">
        <f t="shared" si="32"/>
        <v>11.61130605153873</v>
      </c>
      <c r="BH59" s="141">
        <f t="shared" si="33"/>
        <v>3.8704353505129108</v>
      </c>
      <c r="BI59" s="141">
        <f t="shared" si="34"/>
        <v>18.002024886106561</v>
      </c>
      <c r="BJ59" s="147">
        <f t="shared" si="35"/>
        <v>0</v>
      </c>
      <c r="BK59" s="141">
        <f t="shared" si="36"/>
        <v>7.7408707010258215</v>
      </c>
      <c r="BL59" s="141">
        <f t="shared" si="37"/>
        <v>15.481741402051643</v>
      </c>
      <c r="BM59" s="141">
        <f t="shared" si="38"/>
        <v>38.704353505129106</v>
      </c>
      <c r="BN59" s="141">
        <f t="shared" si="39"/>
        <v>0</v>
      </c>
      <c r="BO59" s="141">
        <f t="shared" si="40"/>
        <v>0</v>
      </c>
      <c r="BP59" s="141">
        <f t="shared" si="41"/>
        <v>0</v>
      </c>
      <c r="BS59" s="153"/>
      <c r="BT59" s="154">
        <v>1000</v>
      </c>
      <c r="BU59" s="155" t="s">
        <v>537</v>
      </c>
      <c r="BV59" s="156" t="s">
        <v>567</v>
      </c>
      <c r="BW59" s="157">
        <v>1.7</v>
      </c>
      <c r="BX59" s="158">
        <v>2</v>
      </c>
      <c r="BY59" s="157">
        <v>2</v>
      </c>
      <c r="BZ59" s="158">
        <v>2.1</v>
      </c>
      <c r="CA59" s="158">
        <v>2.35</v>
      </c>
      <c r="CB59" s="158">
        <v>2.35</v>
      </c>
      <c r="CC59" s="158">
        <v>2.35</v>
      </c>
      <c r="CF59" s="166">
        <v>500</v>
      </c>
      <c r="CG59" s="167">
        <v>0.21</v>
      </c>
      <c r="CH59" s="166">
        <v>500</v>
      </c>
      <c r="CI59" s="167">
        <v>0.56000000000000005</v>
      </c>
    </row>
    <row r="60" spans="2:87" s="108" customFormat="1">
      <c r="B60" s="109"/>
      <c r="C60" s="141">
        <f t="shared" si="1"/>
        <v>800</v>
      </c>
      <c r="D60" s="141">
        <f t="shared" si="2"/>
        <v>0</v>
      </c>
      <c r="E60" s="141"/>
      <c r="F60" s="142">
        <f t="shared" si="42"/>
        <v>0</v>
      </c>
      <c r="G60" s="143" t="s">
        <v>146</v>
      </c>
      <c r="H60" s="80">
        <f t="shared" si="3"/>
        <v>0</v>
      </c>
      <c r="I60" s="80" t="str">
        <f t="shared" si="4"/>
        <v/>
      </c>
      <c r="J60" s="144"/>
      <c r="K60" s="144"/>
      <c r="L60" s="144"/>
      <c r="M60" s="76" t="s">
        <v>373</v>
      </c>
      <c r="N60" s="77"/>
      <c r="O60" s="145"/>
      <c r="P60" s="77">
        <f t="shared" si="5"/>
        <v>0</v>
      </c>
      <c r="Q60" s="78"/>
      <c r="R60" s="79">
        <v>2.2000000000000002</v>
      </c>
      <c r="S60" s="146">
        <f t="shared" si="6"/>
        <v>0</v>
      </c>
      <c r="T60" s="141">
        <f t="shared" si="43"/>
        <v>0.70000000000000018</v>
      </c>
      <c r="U60" s="649">
        <f t="shared" si="7"/>
        <v>0</v>
      </c>
      <c r="V60" s="650"/>
      <c r="W60" s="649">
        <f t="shared" si="8"/>
        <v>0</v>
      </c>
      <c r="X60" s="650"/>
      <c r="Y60" s="649">
        <f t="shared" si="9"/>
        <v>0</v>
      </c>
      <c r="Z60" s="650"/>
      <c r="AA60" s="649">
        <f t="shared" si="10"/>
        <v>0</v>
      </c>
      <c r="AB60" s="650"/>
      <c r="AC60" s="649">
        <f t="shared" si="11"/>
        <v>0</v>
      </c>
      <c r="AD60" s="650"/>
      <c r="AE60" s="649">
        <f t="shared" si="12"/>
        <v>0</v>
      </c>
      <c r="AF60" s="650"/>
      <c r="AG60" s="649">
        <f t="shared" si="13"/>
        <v>0</v>
      </c>
      <c r="AH60" s="650"/>
      <c r="AI60" s="649">
        <f t="shared" si="14"/>
        <v>0</v>
      </c>
      <c r="AJ60" s="650"/>
      <c r="AK60" s="649">
        <f t="shared" si="15"/>
        <v>0</v>
      </c>
      <c r="AL60" s="650"/>
      <c r="AM60" s="649">
        <f t="shared" si="16"/>
        <v>0</v>
      </c>
      <c r="AN60" s="650"/>
      <c r="AO60" s="649">
        <f t="shared" si="17"/>
        <v>0</v>
      </c>
      <c r="AP60" s="650"/>
      <c r="AQ60" s="649">
        <f t="shared" si="18"/>
        <v>0</v>
      </c>
      <c r="AR60" s="650"/>
      <c r="AS60" s="651">
        <f t="shared" si="19"/>
        <v>0</v>
      </c>
      <c r="AT60" s="652"/>
      <c r="AU60" s="141">
        <f t="shared" si="20"/>
        <v>0</v>
      </c>
      <c r="AV60" s="141">
        <f t="shared" si="21"/>
        <v>0</v>
      </c>
      <c r="AW60" s="141">
        <f t="shared" si="22"/>
        <v>0</v>
      </c>
      <c r="AX60" s="141">
        <f t="shared" si="23"/>
        <v>0</v>
      </c>
      <c r="AY60" s="141">
        <f t="shared" si="24"/>
        <v>0</v>
      </c>
      <c r="AZ60" s="141">
        <f t="shared" si="25"/>
        <v>0</v>
      </c>
      <c r="BA60" s="141">
        <f t="shared" si="26"/>
        <v>0</v>
      </c>
      <c r="BB60" s="141">
        <f t="shared" si="27"/>
        <v>0</v>
      </c>
      <c r="BC60" s="141">
        <f t="shared" si="28"/>
        <v>0</v>
      </c>
      <c r="BD60" s="141">
        <f t="shared" si="29"/>
        <v>0</v>
      </c>
      <c r="BE60" s="141">
        <f t="shared" si="30"/>
        <v>0</v>
      </c>
      <c r="BF60" s="141">
        <f t="shared" si="31"/>
        <v>0</v>
      </c>
      <c r="BG60" s="141">
        <f t="shared" si="32"/>
        <v>0</v>
      </c>
      <c r="BH60" s="141">
        <f t="shared" si="33"/>
        <v>0</v>
      </c>
      <c r="BI60" s="141">
        <f t="shared" si="34"/>
        <v>0</v>
      </c>
      <c r="BJ60" s="147">
        <f t="shared" si="35"/>
        <v>0</v>
      </c>
      <c r="BK60" s="141">
        <f t="shared" si="36"/>
        <v>0</v>
      </c>
      <c r="BL60" s="141">
        <f t="shared" si="37"/>
        <v>0</v>
      </c>
      <c r="BM60" s="141">
        <f t="shared" si="38"/>
        <v>0</v>
      </c>
      <c r="BN60" s="141">
        <f t="shared" si="39"/>
        <v>0</v>
      </c>
      <c r="BO60" s="141">
        <f t="shared" si="40"/>
        <v>0</v>
      </c>
      <c r="BP60" s="141">
        <f t="shared" si="41"/>
        <v>0</v>
      </c>
      <c r="BS60" s="153"/>
      <c r="BT60" s="154">
        <v>1000</v>
      </c>
      <c r="BU60" s="155" t="s">
        <v>539</v>
      </c>
      <c r="BV60" s="156" t="s">
        <v>568</v>
      </c>
      <c r="BW60" s="157">
        <v>1.7</v>
      </c>
      <c r="BX60" s="158">
        <v>2</v>
      </c>
      <c r="BY60" s="157">
        <v>2</v>
      </c>
      <c r="BZ60" s="158">
        <v>2.1</v>
      </c>
      <c r="CA60" s="158">
        <v>2.35</v>
      </c>
      <c r="CB60" s="158">
        <v>2.35</v>
      </c>
      <c r="CC60" s="158">
        <v>2.35</v>
      </c>
      <c r="CF60" s="166">
        <v>600</v>
      </c>
      <c r="CG60" s="167">
        <v>0.25</v>
      </c>
      <c r="CH60" s="166">
        <v>600</v>
      </c>
      <c r="CI60" s="167">
        <v>0.66</v>
      </c>
    </row>
    <row r="61" spans="2:87" s="108" customFormat="1">
      <c r="B61" s="109"/>
      <c r="C61" s="141" t="e">
        <f t="shared" si="1"/>
        <v>#NUM!</v>
      </c>
      <c r="D61" s="141">
        <f t="shared" si="2"/>
        <v>0</v>
      </c>
      <c r="E61" s="141" t="str">
        <f>IFERROR(DGET($BV$30:$CC$82,F61,G60:G61),"")</f>
        <v/>
      </c>
      <c r="F61" s="142">
        <f t="shared" si="42"/>
        <v>0</v>
      </c>
      <c r="G61" s="142" t="b">
        <f>IF(Q61&gt;0,IF(AND(S61&gt;0,S61&lt;2),CONCATENATE(Q61," ","0-2"),IF(AND(S61&gt;=2,S61&lt;8),CONCATENATE(Q61," ","2-8"),)))</f>
        <v>0</v>
      </c>
      <c r="H61" s="80">
        <f t="shared" si="3"/>
        <v>0</v>
      </c>
      <c r="I61" s="80" t="str">
        <f t="shared" si="4"/>
        <v/>
      </c>
      <c r="J61" s="76"/>
      <c r="K61" s="76"/>
      <c r="L61" s="76"/>
      <c r="M61" s="80"/>
      <c r="N61" s="79"/>
      <c r="O61" s="148"/>
      <c r="P61" s="77">
        <f t="shared" si="5"/>
        <v>0</v>
      </c>
      <c r="Q61" s="81"/>
      <c r="R61" s="77"/>
      <c r="S61" s="146">
        <f t="shared" si="6"/>
        <v>0</v>
      </c>
      <c r="T61" s="141" t="b">
        <f t="shared" si="43"/>
        <v>0</v>
      </c>
      <c r="U61" s="649">
        <f t="shared" si="7"/>
        <v>0</v>
      </c>
      <c r="V61" s="650"/>
      <c r="W61" s="649">
        <f t="shared" si="8"/>
        <v>0</v>
      </c>
      <c r="X61" s="650"/>
      <c r="Y61" s="649">
        <f t="shared" si="9"/>
        <v>0</v>
      </c>
      <c r="Z61" s="650"/>
      <c r="AA61" s="649">
        <f t="shared" si="10"/>
        <v>0</v>
      </c>
      <c r="AB61" s="650"/>
      <c r="AC61" s="649">
        <f t="shared" si="11"/>
        <v>0</v>
      </c>
      <c r="AD61" s="650"/>
      <c r="AE61" s="649">
        <f t="shared" si="12"/>
        <v>0</v>
      </c>
      <c r="AF61" s="650"/>
      <c r="AG61" s="649">
        <f t="shared" si="13"/>
        <v>0</v>
      </c>
      <c r="AH61" s="650"/>
      <c r="AI61" s="649">
        <f t="shared" si="14"/>
        <v>0</v>
      </c>
      <c r="AJ61" s="650"/>
      <c r="AK61" s="649">
        <f t="shared" si="15"/>
        <v>0</v>
      </c>
      <c r="AL61" s="650"/>
      <c r="AM61" s="649">
        <f t="shared" si="16"/>
        <v>0</v>
      </c>
      <c r="AN61" s="650"/>
      <c r="AO61" s="649">
        <f t="shared" si="17"/>
        <v>0</v>
      </c>
      <c r="AP61" s="650"/>
      <c r="AQ61" s="649">
        <f t="shared" si="18"/>
        <v>0</v>
      </c>
      <c r="AR61" s="650"/>
      <c r="AS61" s="651">
        <f t="shared" si="19"/>
        <v>0</v>
      </c>
      <c r="AT61" s="652"/>
      <c r="AU61" s="141">
        <f t="shared" si="20"/>
        <v>0</v>
      </c>
      <c r="AV61" s="141">
        <f t="shared" si="21"/>
        <v>0</v>
      </c>
      <c r="AW61" s="141">
        <f t="shared" si="22"/>
        <v>0</v>
      </c>
      <c r="AX61" s="141">
        <f t="shared" si="23"/>
        <v>0</v>
      </c>
      <c r="AY61" s="141">
        <f t="shared" si="24"/>
        <v>0</v>
      </c>
      <c r="AZ61" s="141">
        <f t="shared" si="25"/>
        <v>0</v>
      </c>
      <c r="BA61" s="141">
        <f t="shared" si="26"/>
        <v>0</v>
      </c>
      <c r="BB61" s="141">
        <f t="shared" si="27"/>
        <v>0</v>
      </c>
      <c r="BC61" s="141">
        <f t="shared" si="28"/>
        <v>0</v>
      </c>
      <c r="BD61" s="141">
        <f t="shared" si="29"/>
        <v>0</v>
      </c>
      <c r="BE61" s="141">
        <f t="shared" si="30"/>
        <v>0</v>
      </c>
      <c r="BF61" s="141">
        <f t="shared" si="31"/>
        <v>0</v>
      </c>
      <c r="BG61" s="141">
        <f t="shared" si="32"/>
        <v>0</v>
      </c>
      <c r="BH61" s="141">
        <f t="shared" si="33"/>
        <v>0</v>
      </c>
      <c r="BI61" s="141">
        <f t="shared" si="34"/>
        <v>0</v>
      </c>
      <c r="BJ61" s="147">
        <f t="shared" si="35"/>
        <v>0</v>
      </c>
      <c r="BK61" s="141">
        <f t="shared" si="36"/>
        <v>0</v>
      </c>
      <c r="BL61" s="141">
        <f t="shared" si="37"/>
        <v>0</v>
      </c>
      <c r="BM61" s="141">
        <f t="shared" si="38"/>
        <v>0</v>
      </c>
      <c r="BN61" s="141">
        <f t="shared" si="39"/>
        <v>0</v>
      </c>
      <c r="BO61" s="141">
        <f t="shared" si="40"/>
        <v>0</v>
      </c>
      <c r="BP61" s="141">
        <f t="shared" si="41"/>
        <v>0</v>
      </c>
      <c r="BS61" s="153"/>
      <c r="BT61" s="154">
        <v>1200</v>
      </c>
      <c r="BU61" s="155" t="s">
        <v>537</v>
      </c>
      <c r="BV61" s="156" t="s">
        <v>569</v>
      </c>
      <c r="BW61" s="157">
        <v>2.4</v>
      </c>
      <c r="BX61" s="158">
        <v>2.4</v>
      </c>
      <c r="BY61" s="157">
        <v>2.4</v>
      </c>
      <c r="BZ61" s="158">
        <v>2.4</v>
      </c>
      <c r="CA61" s="158">
        <v>2.4</v>
      </c>
      <c r="CB61" s="158">
        <v>2.4</v>
      </c>
      <c r="CC61" s="158">
        <v>2.4</v>
      </c>
      <c r="CF61" s="166">
        <v>700</v>
      </c>
      <c r="CG61" s="167">
        <v>0.32</v>
      </c>
      <c r="CH61" s="166">
        <v>700</v>
      </c>
      <c r="CI61" s="167">
        <v>0.78</v>
      </c>
    </row>
    <row r="62" spans="2:87" s="108" customFormat="1">
      <c r="B62" s="109"/>
      <c r="C62" s="141">
        <f t="shared" si="1"/>
        <v>800</v>
      </c>
      <c r="D62" s="141">
        <f t="shared" si="2"/>
        <v>0</v>
      </c>
      <c r="E62" s="141"/>
      <c r="F62" s="142">
        <f t="shared" si="42"/>
        <v>0</v>
      </c>
      <c r="G62" s="143" t="s">
        <v>146</v>
      </c>
      <c r="H62" s="80">
        <f t="shared" si="3"/>
        <v>0</v>
      </c>
      <c r="I62" s="80" t="str">
        <f t="shared" si="4"/>
        <v/>
      </c>
      <c r="J62" s="144"/>
      <c r="K62" s="144"/>
      <c r="L62" s="144"/>
      <c r="M62" s="76" t="s">
        <v>373</v>
      </c>
      <c r="N62" s="77"/>
      <c r="O62" s="145"/>
      <c r="P62" s="77">
        <f t="shared" si="5"/>
        <v>0</v>
      </c>
      <c r="Q62" s="78"/>
      <c r="R62" s="79">
        <v>1</v>
      </c>
      <c r="S62" s="146">
        <f t="shared" si="6"/>
        <v>0</v>
      </c>
      <c r="T62" s="141">
        <f t="shared" si="43"/>
        <v>0</v>
      </c>
      <c r="U62" s="649">
        <f t="shared" si="7"/>
        <v>0</v>
      </c>
      <c r="V62" s="650"/>
      <c r="W62" s="649">
        <f t="shared" si="8"/>
        <v>0</v>
      </c>
      <c r="X62" s="650"/>
      <c r="Y62" s="649">
        <f t="shared" si="9"/>
        <v>0</v>
      </c>
      <c r="Z62" s="650"/>
      <c r="AA62" s="649">
        <f t="shared" si="10"/>
        <v>0</v>
      </c>
      <c r="AB62" s="650"/>
      <c r="AC62" s="649">
        <f t="shared" si="11"/>
        <v>0</v>
      </c>
      <c r="AD62" s="650"/>
      <c r="AE62" s="649">
        <f t="shared" si="12"/>
        <v>0</v>
      </c>
      <c r="AF62" s="650"/>
      <c r="AG62" s="649">
        <f t="shared" si="13"/>
        <v>0</v>
      </c>
      <c r="AH62" s="650"/>
      <c r="AI62" s="649">
        <f t="shared" si="14"/>
        <v>0</v>
      </c>
      <c r="AJ62" s="650"/>
      <c r="AK62" s="649">
        <f t="shared" si="15"/>
        <v>0</v>
      </c>
      <c r="AL62" s="650"/>
      <c r="AM62" s="649">
        <f t="shared" si="16"/>
        <v>0</v>
      </c>
      <c r="AN62" s="650"/>
      <c r="AO62" s="649">
        <f t="shared" si="17"/>
        <v>0</v>
      </c>
      <c r="AP62" s="650"/>
      <c r="AQ62" s="649">
        <f t="shared" si="18"/>
        <v>0</v>
      </c>
      <c r="AR62" s="650"/>
      <c r="AS62" s="651">
        <f t="shared" si="19"/>
        <v>0</v>
      </c>
      <c r="AT62" s="652"/>
      <c r="AU62" s="141">
        <f t="shared" si="20"/>
        <v>0</v>
      </c>
      <c r="AV62" s="141">
        <f t="shared" si="21"/>
        <v>0</v>
      </c>
      <c r="AW62" s="141">
        <f t="shared" si="22"/>
        <v>0</v>
      </c>
      <c r="AX62" s="141">
        <f t="shared" si="23"/>
        <v>0</v>
      </c>
      <c r="AY62" s="141">
        <f t="shared" si="24"/>
        <v>0</v>
      </c>
      <c r="AZ62" s="141">
        <f t="shared" si="25"/>
        <v>0</v>
      </c>
      <c r="BA62" s="141">
        <f t="shared" si="26"/>
        <v>0</v>
      </c>
      <c r="BB62" s="141">
        <f t="shared" si="27"/>
        <v>0</v>
      </c>
      <c r="BC62" s="141">
        <f t="shared" si="28"/>
        <v>0</v>
      </c>
      <c r="BD62" s="141">
        <f t="shared" si="29"/>
        <v>0</v>
      </c>
      <c r="BE62" s="141">
        <f t="shared" si="30"/>
        <v>0</v>
      </c>
      <c r="BF62" s="141">
        <f t="shared" si="31"/>
        <v>0</v>
      </c>
      <c r="BG62" s="141">
        <f t="shared" si="32"/>
        <v>0</v>
      </c>
      <c r="BH62" s="141">
        <f t="shared" si="33"/>
        <v>0</v>
      </c>
      <c r="BI62" s="141">
        <f t="shared" si="34"/>
        <v>0</v>
      </c>
      <c r="BJ62" s="147">
        <f t="shared" si="35"/>
        <v>0</v>
      </c>
      <c r="BK62" s="141">
        <f t="shared" si="36"/>
        <v>0</v>
      </c>
      <c r="BL62" s="141">
        <f t="shared" si="37"/>
        <v>0</v>
      </c>
      <c r="BM62" s="141">
        <f t="shared" si="38"/>
        <v>0</v>
      </c>
      <c r="BN62" s="141">
        <f t="shared" si="39"/>
        <v>0</v>
      </c>
      <c r="BO62" s="141">
        <f t="shared" si="40"/>
        <v>0</v>
      </c>
      <c r="BP62" s="141">
        <f t="shared" si="41"/>
        <v>0</v>
      </c>
      <c r="BS62" s="153"/>
      <c r="BT62" s="154">
        <v>1200</v>
      </c>
      <c r="BU62" s="155" t="s">
        <v>539</v>
      </c>
      <c r="BV62" s="156" t="s">
        <v>570</v>
      </c>
      <c r="BW62" s="157">
        <v>2.4</v>
      </c>
      <c r="BX62" s="158">
        <v>2.4</v>
      </c>
      <c r="BY62" s="157">
        <v>2.4</v>
      </c>
      <c r="BZ62" s="158">
        <v>2.4</v>
      </c>
      <c r="CA62" s="158">
        <v>2.4</v>
      </c>
      <c r="CB62" s="158">
        <v>2.4</v>
      </c>
      <c r="CC62" s="158">
        <v>2.4</v>
      </c>
      <c r="CF62" s="166">
        <v>800</v>
      </c>
      <c r="CG62" s="167">
        <v>0.43</v>
      </c>
      <c r="CH62" s="166">
        <v>800</v>
      </c>
      <c r="CI62" s="167">
        <v>0.86</v>
      </c>
    </row>
    <row r="63" spans="2:87" s="108" customFormat="1">
      <c r="B63" s="109"/>
      <c r="C63" s="141">
        <f>IF(AND(LARGE(Q62:Q66,1)&gt;=$A$11,LARGE(Q62:Q66,1)&lt;=$B$11),500,IF(AND(LARGE(Q62:Q66,1)&gt;=$A$12,LARGE(Q62:Q66,1)&lt;=$B$12),500,IF(AND(LARGE(Q62:Q66,1)&gt;=$A$13,LARGE(Q62:Q66,1)&lt;=$B$13),600,IF(AND(LARGE(Q62:Q66,1)&gt;=$A$14,LARGE(Q62:Q66,1)&lt;=$B$14),700,IF(AND(LARGE(Q62:Q66,1)&gt;=$A$15,LARGE(Q62:Q66,1)&lt;=$B$15),800,IF(AND(LARGE(Q62:Q66,1)&gt;=$A$16,LARGE(Q62:Q66,1)&lt;=$B$16),900,IF(AND(LARGE(Q62:Q66,1)&gt;=$A$17,LARGE(Q62:Q66,1)&lt;=$B$17),1000,IF(AND(LARGE(Q62:Q66,1)&gt;=$A$18,LARGE(Q62:Q66,1)&lt;=$B$18),1100,IF(AND(LARGE(Q62:Q66,1)&gt;=$A$19,LARGE(Q62:Q66,1)&lt;=$B$19),1200)))))))))</f>
        <v>800</v>
      </c>
      <c r="D63" s="141">
        <f t="shared" si="2"/>
        <v>0</v>
      </c>
      <c r="E63" s="141">
        <f>IFERROR(DGET($BV$30:$CC$82,F63,G62:G63),"")</f>
        <v>2.15</v>
      </c>
      <c r="F63" s="142" t="str">
        <f t="shared" si="42"/>
        <v>PRANCHÃO DE MADEIRA</v>
      </c>
      <c r="G63" s="142" t="str">
        <f>IF(Q63&gt;0,IF(AND(S63&gt;0,S63&lt;2),CONCATENATE(Q63," ","0-2"),IF(AND(S63&gt;=2,S63&lt;8),CONCATENATE(Q63," ","2-8"),)))</f>
        <v>800 0-2</v>
      </c>
      <c r="H63" s="80">
        <f t="shared" si="3"/>
        <v>0</v>
      </c>
      <c r="I63" s="80" t="str">
        <f t="shared" si="4"/>
        <v>BSTC800</v>
      </c>
      <c r="J63" s="76" t="s">
        <v>198</v>
      </c>
      <c r="K63" s="76" t="s">
        <v>177</v>
      </c>
      <c r="L63" s="76" t="s">
        <v>202</v>
      </c>
      <c r="M63" s="80"/>
      <c r="N63" s="79">
        <v>11</v>
      </c>
      <c r="O63" s="148">
        <v>2.1100000000000001E-2</v>
      </c>
      <c r="P63" s="77">
        <f t="shared" si="5"/>
        <v>11.00244838251923</v>
      </c>
      <c r="Q63" s="81">
        <v>800</v>
      </c>
      <c r="R63" s="77"/>
      <c r="S63" s="146">
        <f>IF(AND(L63="água"),((R62+R66)/2)+((H63/1000))+BJ63+VLOOKUP(Q63,$CH$31:$CI$52,2,0)+VLOOKUP(Q63,$CF$31:$CG$52,2,0),IF(Q63&gt;0,((R62+R66)/2)+((H63/1000))+BJ63,0))</f>
        <v>1.6500000000000001</v>
      </c>
      <c r="T63" s="141" t="b">
        <f t="shared" si="43"/>
        <v>0</v>
      </c>
      <c r="U63" s="649">
        <f t="shared" si="7"/>
        <v>0</v>
      </c>
      <c r="V63" s="650"/>
      <c r="W63" s="649">
        <f t="shared" si="8"/>
        <v>0</v>
      </c>
      <c r="X63" s="650"/>
      <c r="Y63" s="649">
        <f t="shared" si="9"/>
        <v>0</v>
      </c>
      <c r="Z63" s="650"/>
      <c r="AA63" s="649">
        <f t="shared" si="10"/>
        <v>0</v>
      </c>
      <c r="AB63" s="650"/>
      <c r="AC63" s="649">
        <f t="shared" si="11"/>
        <v>0</v>
      </c>
      <c r="AD63" s="650"/>
      <c r="AE63" s="649">
        <f t="shared" si="12"/>
        <v>0</v>
      </c>
      <c r="AF63" s="650"/>
      <c r="AG63" s="649">
        <f t="shared" si="13"/>
        <v>0</v>
      </c>
      <c r="AH63" s="650"/>
      <c r="AI63" s="649">
        <f t="shared" si="14"/>
        <v>0</v>
      </c>
      <c r="AJ63" s="650"/>
      <c r="AK63" s="649">
        <f t="shared" si="15"/>
        <v>0</v>
      </c>
      <c r="AL63" s="650"/>
      <c r="AM63" s="649">
        <f t="shared" si="16"/>
        <v>35.482896033624513</v>
      </c>
      <c r="AN63" s="650"/>
      <c r="AO63" s="649">
        <f t="shared" si="17"/>
        <v>3.5482896033624547</v>
      </c>
      <c r="AP63" s="650"/>
      <c r="AQ63" s="649">
        <f t="shared" si="18"/>
        <v>0</v>
      </c>
      <c r="AR63" s="650"/>
      <c r="AS63" s="651">
        <f t="shared" si="19"/>
        <v>0</v>
      </c>
      <c r="AT63" s="652"/>
      <c r="AU63" s="141">
        <f t="shared" si="20"/>
        <v>0</v>
      </c>
      <c r="AV63" s="141">
        <f t="shared" si="21"/>
        <v>0</v>
      </c>
      <c r="AW63" s="141">
        <f t="shared" si="22"/>
        <v>0</v>
      </c>
      <c r="AX63" s="141">
        <f t="shared" si="23"/>
        <v>36.30807966231346</v>
      </c>
      <c r="AY63" s="141">
        <f t="shared" si="24"/>
        <v>0</v>
      </c>
      <c r="AZ63" s="141">
        <f t="shared" si="25"/>
        <v>0</v>
      </c>
      <c r="BA63" s="141">
        <f t="shared" si="26"/>
        <v>39.031185636986969</v>
      </c>
      <c r="BB63" s="141">
        <f t="shared" si="27"/>
        <v>19.307593461933433</v>
      </c>
      <c r="BC63" s="141">
        <f t="shared" si="28"/>
        <v>39.031185636986969</v>
      </c>
      <c r="BD63" s="141">
        <f t="shared" si="29"/>
        <v>19.307593461933433</v>
      </c>
      <c r="BE63" s="141">
        <f t="shared" si="30"/>
        <v>23.655264022416343</v>
      </c>
      <c r="BF63" s="141">
        <f t="shared" si="31"/>
        <v>0</v>
      </c>
      <c r="BG63" s="141">
        <f t="shared" si="32"/>
        <v>7.0965792067249023</v>
      </c>
      <c r="BH63" s="141">
        <f t="shared" si="33"/>
        <v>2.3655264022416342</v>
      </c>
      <c r="BI63" s="141">
        <f t="shared" si="34"/>
        <v>11.00244838251923</v>
      </c>
      <c r="BJ63" s="147">
        <f t="shared" si="35"/>
        <v>0</v>
      </c>
      <c r="BK63" s="141">
        <f t="shared" si="36"/>
        <v>4.7310528044832685</v>
      </c>
      <c r="BL63" s="141">
        <f t="shared" si="37"/>
        <v>9.462105608966537</v>
      </c>
      <c r="BM63" s="141">
        <f t="shared" si="38"/>
        <v>23.655264022416343</v>
      </c>
      <c r="BN63" s="141">
        <f t="shared" si="39"/>
        <v>0</v>
      </c>
      <c r="BO63" s="141">
        <f t="shared" si="40"/>
        <v>0</v>
      </c>
      <c r="BP63" s="141">
        <f t="shared" si="41"/>
        <v>0</v>
      </c>
      <c r="BS63" s="153"/>
      <c r="BT63" s="154">
        <v>1500</v>
      </c>
      <c r="BU63" s="155" t="s">
        <v>537</v>
      </c>
      <c r="BV63" s="156" t="s">
        <v>571</v>
      </c>
      <c r="BW63" s="157">
        <v>2.85</v>
      </c>
      <c r="BX63" s="158">
        <v>2.85</v>
      </c>
      <c r="BY63" s="157">
        <v>2.85</v>
      </c>
      <c r="BZ63" s="158">
        <v>2.85</v>
      </c>
      <c r="CA63" s="158">
        <v>2.85</v>
      </c>
      <c r="CB63" s="158">
        <v>2.85</v>
      </c>
      <c r="CC63" s="158">
        <v>2.85</v>
      </c>
      <c r="CF63" s="166">
        <v>900</v>
      </c>
      <c r="CG63" s="167">
        <v>0.52</v>
      </c>
      <c r="CH63" s="166">
        <v>900</v>
      </c>
      <c r="CI63" s="167">
        <v>1</v>
      </c>
    </row>
    <row r="64" spans="2:87" s="108" customFormat="1">
      <c r="B64" s="109"/>
      <c r="C64" s="141">
        <f>IF(AND(LARGE(Q63:Q65,1)&gt;=$A$11,LARGE(Q63:Q65,1)&lt;=$B$11),500,IF(AND(LARGE(Q63:Q65,1)&gt;=$A$12,LARGE(Q63:Q65,1)&lt;=$B$12),500,IF(AND(LARGE(Q63:Q65,1)&gt;=$A$13,LARGE(Q63:Q65,1)&lt;=$B$13),600,IF(AND(LARGE(Q63:Q65,1)&gt;=$A$14,LARGE(Q63:Q65,1)&lt;=$B$14),700,IF(AND(LARGE(Q63:Q65,1)&gt;=$A$15,LARGE(Q63:Q65,1)&lt;=$B$15),800,IF(AND(LARGE(Q63:Q65,1)&gt;=$A$16,LARGE(Q63:Q65,1)&lt;=$B$16),900,IF(AND(LARGE(Q63:Q65,1)&gt;=$A$17,LARGE(Q63:Q65,1)&lt;=$B$17),1000,IF(AND(LARGE(Q63:Q65,1)&gt;=$A$18,LARGE(Q63:Q65,1)&lt;=$B$18),1100,IF(AND(LARGE(Q63:Q65,1)&gt;=$A$19,LARGE(Q63:Q65,1)&lt;=$B$19),1200)))))))))</f>
        <v>800</v>
      </c>
      <c r="D64" s="141">
        <f t="shared" si="2"/>
        <v>0</v>
      </c>
      <c r="E64" s="141"/>
      <c r="F64" s="142">
        <f t="shared" si="42"/>
        <v>0</v>
      </c>
      <c r="G64" s="143" t="s">
        <v>146</v>
      </c>
      <c r="H64" s="80">
        <f t="shared" si="3"/>
        <v>0</v>
      </c>
      <c r="I64" s="80" t="str">
        <f t="shared" ref="I64:I65" si="44">CONCATENATE(J64,Q64)</f>
        <v/>
      </c>
      <c r="J64" s="144"/>
      <c r="K64" s="144"/>
      <c r="L64" s="144"/>
      <c r="M64" s="76" t="s">
        <v>374</v>
      </c>
      <c r="N64" s="77"/>
      <c r="O64" s="145"/>
      <c r="P64" s="77">
        <f t="shared" ref="P64:P65" si="45">SQRT(((N64*O64)^2)+(N64^2))</f>
        <v>0</v>
      </c>
      <c r="Q64" s="78"/>
      <c r="R64" s="79">
        <v>1.5</v>
      </c>
      <c r="S64" s="146">
        <f>IF(AND(L64="água"),((R63+R65)/2)+((H64/1000))+BJ64+VLOOKUP(Q64,$CH$31:$CI$52,2,0)+VLOOKUP(Q64,$CF$31:$CG$52,2,0),IF(Q64&gt;0,((R63+R65)/2)+((H64/1000))+BJ64,0))</f>
        <v>0</v>
      </c>
      <c r="T64" s="141">
        <f t="shared" ref="T64:T65" si="46">IF(R64&gt;0,IF(R64&gt;=1.5,R64-1.5,0))</f>
        <v>0</v>
      </c>
      <c r="U64" s="649">
        <f t="shared" si="7"/>
        <v>0</v>
      </c>
      <c r="V64" s="650"/>
      <c r="W64" s="649">
        <f t="shared" si="8"/>
        <v>0</v>
      </c>
      <c r="X64" s="650"/>
      <c r="Y64" s="649">
        <f t="shared" si="9"/>
        <v>0</v>
      </c>
      <c r="Z64" s="650"/>
      <c r="AA64" s="649">
        <f t="shared" si="10"/>
        <v>0</v>
      </c>
      <c r="AB64" s="650"/>
      <c r="AC64" s="649">
        <f t="shared" si="11"/>
        <v>0</v>
      </c>
      <c r="AD64" s="650"/>
      <c r="AE64" s="649">
        <f t="shared" si="12"/>
        <v>0</v>
      </c>
      <c r="AF64" s="650"/>
      <c r="AG64" s="649">
        <f t="shared" si="13"/>
        <v>0</v>
      </c>
      <c r="AH64" s="650"/>
      <c r="AI64" s="649">
        <f t="shared" si="14"/>
        <v>0</v>
      </c>
      <c r="AJ64" s="650"/>
      <c r="AK64" s="649">
        <f t="shared" si="15"/>
        <v>0</v>
      </c>
      <c r="AL64" s="650"/>
      <c r="AM64" s="649">
        <f t="shared" si="16"/>
        <v>0</v>
      </c>
      <c r="AN64" s="650"/>
      <c r="AO64" s="649">
        <f t="shared" si="17"/>
        <v>0</v>
      </c>
      <c r="AP64" s="650"/>
      <c r="AQ64" s="649">
        <f t="shared" si="18"/>
        <v>0</v>
      </c>
      <c r="AR64" s="650"/>
      <c r="AS64" s="651">
        <f t="shared" si="19"/>
        <v>0</v>
      </c>
      <c r="AT64" s="652"/>
      <c r="AU64" s="141">
        <f t="shared" ref="AU64:AU65" si="47">IF((S64&lt;1.25),S64*P64*2,0)</f>
        <v>0</v>
      </c>
      <c r="AV64" s="141">
        <f t="shared" ref="AV64:AV65" si="48">IF(AND(L64="seco",S64&gt;=1.25,S64&lt;3),S64*P64*2,0)</f>
        <v>0</v>
      </c>
      <c r="AW64" s="141">
        <f t="shared" ref="AW64:AW65" si="49">IF(AND(L64="seco",S64&gt;=3),S64*P64*2,0)</f>
        <v>0</v>
      </c>
      <c r="AX64" s="141">
        <f t="shared" ref="AX64:AX65" si="50">IF(AND(L64="água",S64&gt;=1.25,S64&lt;4),S64*P64*2,0)</f>
        <v>0</v>
      </c>
      <c r="AY64" s="141">
        <f t="shared" ref="AY64:AY65" si="51">IF(AND(L64="água",S64&gt;=4,S64&lt;5),S64*P64*2,0)</f>
        <v>0</v>
      </c>
      <c r="AZ64" s="141">
        <f t="shared" ref="AZ64:AZ65" si="52">IF(AND(L64="água",S64&gt;=5),S64*P64*2,0)</f>
        <v>0</v>
      </c>
      <c r="BA64" s="141">
        <f t="shared" ref="BA64:BA65" si="53">SUM(U64:AT64)</f>
        <v>0</v>
      </c>
      <c r="BB64" s="141">
        <f t="shared" ref="BB64:BB65" si="54">BA64-((PI()*((Q64/2000)^2)*P64)+BG64+BH64+BK64+BF64)</f>
        <v>0</v>
      </c>
      <c r="BC64" s="141">
        <f t="shared" ref="BC64:BC65" si="55">IF(L64="ÁGUA",BA64,BA64-BB64)</f>
        <v>0</v>
      </c>
      <c r="BD64" s="141">
        <f t="shared" ref="BD64:BD65" si="56">IF(L64="ÁGUA",BB64,0)</f>
        <v>0</v>
      </c>
      <c r="BE64" s="141">
        <f t="shared" ref="BE64:BE65" si="57">IFERROR(P64*E64,0)</f>
        <v>0</v>
      </c>
      <c r="BF64" s="141">
        <f t="shared" ref="BF64:BF65" si="58">IF(OR(J64="PEAD",J64="PVC"),((((H64+Q64)/1000)+0.6)*E64*P64)-((PI()*((Q64/2000)^2)*P64)),0)</f>
        <v>0</v>
      </c>
      <c r="BG64" s="141">
        <f t="shared" si="32"/>
        <v>0</v>
      </c>
      <c r="BH64" s="141">
        <f t="shared" si="33"/>
        <v>0</v>
      </c>
      <c r="BI64" s="141">
        <f t="shared" ref="BI64:BI65" si="59">IF(L64="água",(P64),0)</f>
        <v>0</v>
      </c>
      <c r="BJ64" s="147">
        <f t="shared" si="35"/>
        <v>0</v>
      </c>
      <c r="BK64" s="141">
        <f t="shared" si="36"/>
        <v>0</v>
      </c>
      <c r="BL64" s="141">
        <f t="shared" si="37"/>
        <v>0</v>
      </c>
      <c r="BM64" s="141">
        <f t="shared" si="38"/>
        <v>0</v>
      </c>
      <c r="BN64" s="141">
        <f t="shared" si="39"/>
        <v>0</v>
      </c>
      <c r="BO64" s="141">
        <f t="shared" si="40"/>
        <v>0</v>
      </c>
      <c r="BP64" s="141">
        <f t="shared" si="41"/>
        <v>0</v>
      </c>
      <c r="BS64" s="153"/>
      <c r="BT64" s="154">
        <v>1500</v>
      </c>
      <c r="BU64" s="155" t="s">
        <v>539</v>
      </c>
      <c r="BV64" s="156" t="s">
        <v>572</v>
      </c>
      <c r="BW64" s="157">
        <v>2.85</v>
      </c>
      <c r="BX64" s="158">
        <v>2.85</v>
      </c>
      <c r="BY64" s="157">
        <v>2.85</v>
      </c>
      <c r="BZ64" s="158">
        <v>2.85</v>
      </c>
      <c r="CA64" s="158">
        <v>2.85</v>
      </c>
      <c r="CB64" s="158">
        <v>2.85</v>
      </c>
      <c r="CC64" s="158">
        <v>2.85</v>
      </c>
      <c r="CF64" s="166">
        <v>1000</v>
      </c>
      <c r="CG64" s="167">
        <v>0.66</v>
      </c>
      <c r="CH64" s="166">
        <v>1000</v>
      </c>
      <c r="CI64" s="167">
        <v>1.1000000000000001</v>
      </c>
    </row>
    <row r="65" spans="2:89" s="108" customFormat="1">
      <c r="B65" s="109"/>
      <c r="C65" s="141">
        <f>IF(AND(LARGE(Q64:Q68,1)&gt;=$A$11,LARGE(Q64:Q68,1)&lt;=$B$11),500,IF(AND(LARGE(Q64:Q68,1)&gt;=$A$12,LARGE(Q64:Q68,1)&lt;=$B$12),500,IF(AND(LARGE(Q64:Q68,1)&gt;=$A$13,LARGE(Q64:Q68,1)&lt;=$B$13),600,IF(AND(LARGE(Q64:Q68,1)&gt;=$A$14,LARGE(Q64:Q68,1)&lt;=$B$14),700,IF(AND(LARGE(Q64:Q68,1)&gt;=$A$15,LARGE(Q64:Q68,1)&lt;=$B$15),800,IF(AND(LARGE(Q64:Q68,1)&gt;=$A$16,LARGE(Q64:Q68,1)&lt;=$B$16),900,IF(AND(LARGE(Q64:Q68,1)&gt;=$A$17,LARGE(Q64:Q68,1)&lt;=$B$17),1000,IF(AND(LARGE(Q64:Q68,1)&gt;=$A$18,LARGE(Q64:Q68,1)&lt;=$B$18),1100,IF(AND(LARGE(Q64:Q68,1)&gt;=$A$19,LARGE(Q64:Q68,1)&lt;=$B$19),1200)))))))))</f>
        <v>500</v>
      </c>
      <c r="D65" s="141">
        <f t="shared" si="2"/>
        <v>0</v>
      </c>
      <c r="E65" s="141" t="str">
        <f>IFERROR(DGET($BV$30:$CC$82,F65,G64:G65),"")</f>
        <v/>
      </c>
      <c r="F65" s="142">
        <f t="shared" si="42"/>
        <v>0</v>
      </c>
      <c r="G65" s="142" t="b">
        <f>IF(Q65&gt;0,IF(AND(S65&gt;0,S65&lt;2),CONCATENATE(Q65," ","0-2"),IF(AND(S65&gt;=2,S65&lt;8),CONCATENATE(Q65," ","2-8"),)))</f>
        <v>0</v>
      </c>
      <c r="H65" s="80">
        <f t="shared" si="3"/>
        <v>0</v>
      </c>
      <c r="I65" s="80" t="str">
        <f t="shared" si="44"/>
        <v/>
      </c>
      <c r="J65" s="76"/>
      <c r="K65" s="76"/>
      <c r="L65" s="76"/>
      <c r="M65" s="80"/>
      <c r="N65" s="79"/>
      <c r="O65" s="148"/>
      <c r="P65" s="77">
        <f t="shared" si="45"/>
        <v>0</v>
      </c>
      <c r="Q65" s="81"/>
      <c r="R65" s="77"/>
      <c r="S65" s="146">
        <f>IF(AND(L65="água"),((R64+R68)/2)+((H65/1000))+BJ65+VLOOKUP(Q65,$CH$31:$CI$52,2,0)+VLOOKUP(Q65,$CF$31:$CG$52,2,0),IF(Q65&gt;0,((R64+R68)/2)+((H65/1000))+BJ65,0))</f>
        <v>0</v>
      </c>
      <c r="T65" s="141" t="b">
        <f t="shared" si="46"/>
        <v>0</v>
      </c>
      <c r="U65" s="649">
        <f t="shared" si="7"/>
        <v>0</v>
      </c>
      <c r="V65" s="650"/>
      <c r="W65" s="649">
        <f t="shared" si="8"/>
        <v>0</v>
      </c>
      <c r="X65" s="650"/>
      <c r="Y65" s="649">
        <f t="shared" si="9"/>
        <v>0</v>
      </c>
      <c r="Z65" s="650"/>
      <c r="AA65" s="649">
        <f t="shared" si="10"/>
        <v>0</v>
      </c>
      <c r="AB65" s="650"/>
      <c r="AC65" s="649">
        <f t="shared" si="11"/>
        <v>0</v>
      </c>
      <c r="AD65" s="650"/>
      <c r="AE65" s="649">
        <f t="shared" si="12"/>
        <v>0</v>
      </c>
      <c r="AF65" s="650"/>
      <c r="AG65" s="649">
        <f t="shared" si="13"/>
        <v>0</v>
      </c>
      <c r="AH65" s="650"/>
      <c r="AI65" s="649">
        <f t="shared" si="14"/>
        <v>0</v>
      </c>
      <c r="AJ65" s="650"/>
      <c r="AK65" s="649">
        <f t="shared" si="15"/>
        <v>0</v>
      </c>
      <c r="AL65" s="650"/>
      <c r="AM65" s="649">
        <f t="shared" si="16"/>
        <v>0</v>
      </c>
      <c r="AN65" s="650"/>
      <c r="AO65" s="649">
        <f t="shared" si="17"/>
        <v>0</v>
      </c>
      <c r="AP65" s="650"/>
      <c r="AQ65" s="649">
        <f t="shared" si="18"/>
        <v>0</v>
      </c>
      <c r="AR65" s="650"/>
      <c r="AS65" s="651">
        <f t="shared" si="19"/>
        <v>0</v>
      </c>
      <c r="AT65" s="652"/>
      <c r="AU65" s="141">
        <f t="shared" si="47"/>
        <v>0</v>
      </c>
      <c r="AV65" s="141">
        <f t="shared" si="48"/>
        <v>0</v>
      </c>
      <c r="AW65" s="141">
        <f t="shared" si="49"/>
        <v>0</v>
      </c>
      <c r="AX65" s="141">
        <f t="shared" si="50"/>
        <v>0</v>
      </c>
      <c r="AY65" s="141">
        <f t="shared" si="51"/>
        <v>0</v>
      </c>
      <c r="AZ65" s="141">
        <f t="shared" si="52"/>
        <v>0</v>
      </c>
      <c r="BA65" s="141">
        <f t="shared" si="53"/>
        <v>0</v>
      </c>
      <c r="BB65" s="141">
        <f t="shared" si="54"/>
        <v>0</v>
      </c>
      <c r="BC65" s="141">
        <f t="shared" si="55"/>
        <v>0</v>
      </c>
      <c r="BD65" s="141">
        <f t="shared" si="56"/>
        <v>0</v>
      </c>
      <c r="BE65" s="141">
        <f t="shared" si="57"/>
        <v>0</v>
      </c>
      <c r="BF65" s="141">
        <f t="shared" si="58"/>
        <v>0</v>
      </c>
      <c r="BG65" s="141">
        <f t="shared" si="32"/>
        <v>0</v>
      </c>
      <c r="BH65" s="141">
        <f t="shared" si="33"/>
        <v>0</v>
      </c>
      <c r="BI65" s="141">
        <f t="shared" si="59"/>
        <v>0</v>
      </c>
      <c r="BJ65" s="147">
        <f t="shared" si="35"/>
        <v>0</v>
      </c>
      <c r="BK65" s="141">
        <f t="shared" si="36"/>
        <v>0</v>
      </c>
      <c r="BL65" s="141">
        <f t="shared" si="37"/>
        <v>0</v>
      </c>
      <c r="BM65" s="141">
        <f t="shared" si="38"/>
        <v>0</v>
      </c>
      <c r="BN65" s="141">
        <f t="shared" si="39"/>
        <v>0</v>
      </c>
      <c r="BO65" s="141">
        <f t="shared" si="40"/>
        <v>0</v>
      </c>
      <c r="BP65" s="141">
        <f t="shared" si="41"/>
        <v>0</v>
      </c>
      <c r="BS65" s="153"/>
      <c r="BT65" s="154">
        <v>1800</v>
      </c>
      <c r="BU65" s="155" t="s">
        <v>537</v>
      </c>
      <c r="BV65" s="156" t="s">
        <v>573</v>
      </c>
      <c r="BW65" s="157">
        <v>3.15</v>
      </c>
      <c r="BX65" s="158">
        <v>3.15</v>
      </c>
      <c r="BY65" s="157">
        <v>3.15</v>
      </c>
      <c r="BZ65" s="158">
        <v>3.15</v>
      </c>
      <c r="CA65" s="158">
        <v>3.15</v>
      </c>
      <c r="CB65" s="158">
        <v>3.15</v>
      </c>
      <c r="CC65" s="158">
        <v>3.15</v>
      </c>
      <c r="CF65" s="166">
        <v>1100</v>
      </c>
      <c r="CG65" s="167">
        <v>0.77</v>
      </c>
      <c r="CH65" s="166">
        <v>1100</v>
      </c>
      <c r="CI65" s="167">
        <v>1.22</v>
      </c>
    </row>
    <row r="66" spans="2:89" s="108" customFormat="1">
      <c r="B66" s="109"/>
      <c r="C66" s="141">
        <f>IF(AND(LARGE(Q63:Q67,1)&gt;=$A$11,LARGE(Q63:Q67,1)&lt;=$B$11),500,IF(AND(LARGE(Q63:Q67,1)&gt;=$A$12,LARGE(Q63:Q67,1)&lt;=$B$12),500,IF(AND(LARGE(Q63:Q67,1)&gt;=$A$13,LARGE(Q63:Q67,1)&lt;=$B$13),600,IF(AND(LARGE(Q63:Q67,1)&gt;=$A$14,LARGE(Q63:Q67,1)&lt;=$B$14),700,IF(AND(LARGE(Q63:Q67,1)&gt;=$A$15,LARGE(Q63:Q67,1)&lt;=$B$15),800,IF(AND(LARGE(Q63:Q67,1)&gt;=$A$16,LARGE(Q63:Q67,1)&lt;=$B$16),900,IF(AND(LARGE(Q63:Q67,1)&gt;=$A$17,LARGE(Q63:Q67,1)&lt;=$B$17),1000,IF(AND(LARGE(Q63:Q67,1)&gt;=$A$18,LARGE(Q63:Q67,1)&lt;=$B$18),1100,IF(AND(LARGE(Q63:Q67,1)&gt;=$A$19,LARGE(Q63:Q67,1)&lt;=$B$19),1200)))))))))</f>
        <v>800</v>
      </c>
      <c r="D66" s="141">
        <f t="shared" si="2"/>
        <v>0</v>
      </c>
      <c r="E66" s="141"/>
      <c r="F66" s="142">
        <f t="shared" si="42"/>
        <v>0</v>
      </c>
      <c r="G66" s="143" t="s">
        <v>146</v>
      </c>
      <c r="H66" s="80">
        <f t="shared" si="3"/>
        <v>0</v>
      </c>
      <c r="I66" s="80" t="str">
        <f t="shared" si="4"/>
        <v/>
      </c>
      <c r="J66" s="144"/>
      <c r="K66" s="210" t="s">
        <v>375</v>
      </c>
      <c r="L66" s="144"/>
      <c r="M66" s="76" t="s">
        <v>92</v>
      </c>
      <c r="N66" s="77"/>
      <c r="O66" s="145"/>
      <c r="P66" s="77">
        <f t="shared" si="5"/>
        <v>0</v>
      </c>
      <c r="Q66" s="78"/>
      <c r="R66" s="79">
        <v>1.5</v>
      </c>
      <c r="S66" s="146">
        <f>IF(AND(L66="água"),((R63+R67)/2)+((H66/1000))+BJ66+VLOOKUP(Q66,$CH$31:$CI$52,2,0)+VLOOKUP(Q66,$CF$31:$CG$52,2,0),IF(Q66&gt;0,((R63+R67)/2)+((H66/1000))+BJ66,0))</f>
        <v>0</v>
      </c>
      <c r="T66" s="141">
        <f t="shared" si="43"/>
        <v>0</v>
      </c>
      <c r="U66" s="649">
        <f t="shared" si="7"/>
        <v>0</v>
      </c>
      <c r="V66" s="650"/>
      <c r="W66" s="649">
        <f t="shared" si="8"/>
        <v>0</v>
      </c>
      <c r="X66" s="650"/>
      <c r="Y66" s="649">
        <f t="shared" si="9"/>
        <v>0</v>
      </c>
      <c r="Z66" s="650"/>
      <c r="AA66" s="649">
        <f t="shared" si="10"/>
        <v>0</v>
      </c>
      <c r="AB66" s="650"/>
      <c r="AC66" s="649">
        <f t="shared" si="11"/>
        <v>0</v>
      </c>
      <c r="AD66" s="650"/>
      <c r="AE66" s="649">
        <f t="shared" si="12"/>
        <v>0</v>
      </c>
      <c r="AF66" s="650"/>
      <c r="AG66" s="649">
        <f t="shared" si="13"/>
        <v>0</v>
      </c>
      <c r="AH66" s="650"/>
      <c r="AI66" s="649">
        <f t="shared" si="14"/>
        <v>0</v>
      </c>
      <c r="AJ66" s="650"/>
      <c r="AK66" s="649">
        <f t="shared" si="15"/>
        <v>0</v>
      </c>
      <c r="AL66" s="650"/>
      <c r="AM66" s="649">
        <f t="shared" si="16"/>
        <v>0</v>
      </c>
      <c r="AN66" s="650"/>
      <c r="AO66" s="649">
        <f t="shared" si="17"/>
        <v>0</v>
      </c>
      <c r="AP66" s="650"/>
      <c r="AQ66" s="649">
        <f t="shared" si="18"/>
        <v>0</v>
      </c>
      <c r="AR66" s="650"/>
      <c r="AS66" s="651">
        <f t="shared" si="19"/>
        <v>0</v>
      </c>
      <c r="AT66" s="652"/>
      <c r="AU66" s="141">
        <f t="shared" si="20"/>
        <v>0</v>
      </c>
      <c r="AV66" s="141">
        <f t="shared" si="21"/>
        <v>0</v>
      </c>
      <c r="AW66" s="141">
        <f t="shared" si="22"/>
        <v>0</v>
      </c>
      <c r="AX66" s="141">
        <f t="shared" si="23"/>
        <v>0</v>
      </c>
      <c r="AY66" s="141">
        <f t="shared" si="24"/>
        <v>0</v>
      </c>
      <c r="AZ66" s="141">
        <f t="shared" si="25"/>
        <v>0</v>
      </c>
      <c r="BA66" s="141">
        <f t="shared" si="26"/>
        <v>0</v>
      </c>
      <c r="BB66" s="141">
        <f t="shared" si="27"/>
        <v>0</v>
      </c>
      <c r="BC66" s="141">
        <f t="shared" si="28"/>
        <v>0</v>
      </c>
      <c r="BD66" s="141">
        <f t="shared" si="29"/>
        <v>0</v>
      </c>
      <c r="BE66" s="141">
        <f t="shared" si="30"/>
        <v>0</v>
      </c>
      <c r="BF66" s="141">
        <f t="shared" si="31"/>
        <v>0</v>
      </c>
      <c r="BG66" s="141">
        <f t="shared" si="32"/>
        <v>0</v>
      </c>
      <c r="BH66" s="141">
        <f t="shared" si="33"/>
        <v>0</v>
      </c>
      <c r="BI66" s="141">
        <f t="shared" si="34"/>
        <v>0</v>
      </c>
      <c r="BJ66" s="147">
        <f t="shared" si="35"/>
        <v>0</v>
      </c>
      <c r="BK66" s="141">
        <f t="shared" si="36"/>
        <v>0</v>
      </c>
      <c r="BL66" s="141">
        <f t="shared" si="37"/>
        <v>0</v>
      </c>
      <c r="BM66" s="141">
        <f t="shared" si="38"/>
        <v>0</v>
      </c>
      <c r="BN66" s="141">
        <f t="shared" si="39"/>
        <v>0</v>
      </c>
      <c r="BO66" s="141">
        <f t="shared" si="40"/>
        <v>0</v>
      </c>
      <c r="BP66" s="141">
        <f t="shared" si="41"/>
        <v>0</v>
      </c>
      <c r="BS66" s="153"/>
      <c r="BT66" s="154">
        <v>1800</v>
      </c>
      <c r="BU66" s="155" t="s">
        <v>539</v>
      </c>
      <c r="BV66" s="156" t="s">
        <v>574</v>
      </c>
      <c r="BW66" s="157">
        <v>3.15</v>
      </c>
      <c r="BX66" s="158">
        <v>3.15</v>
      </c>
      <c r="BY66" s="157">
        <v>3.15</v>
      </c>
      <c r="BZ66" s="158">
        <v>3.15</v>
      </c>
      <c r="CA66" s="158">
        <v>3.15</v>
      </c>
      <c r="CB66" s="158">
        <v>3.15</v>
      </c>
      <c r="CC66" s="158">
        <v>3.15</v>
      </c>
      <c r="CF66" s="166">
        <v>1200</v>
      </c>
      <c r="CG66" s="167">
        <v>0.94</v>
      </c>
      <c r="CH66" s="166">
        <v>1200</v>
      </c>
      <c r="CI66" s="167">
        <v>1.32</v>
      </c>
    </row>
    <row r="67" spans="2:89" s="108" customFormat="1">
      <c r="B67" s="109"/>
      <c r="C67" s="141">
        <f t="shared" ref="C67:C130" si="60">IF(AND(LARGE(Q66:Q68,1)&gt;=$A$11,LARGE(Q66:Q68,1)&lt;=$B$11),500,IF(AND(LARGE(Q66:Q68,1)&gt;=$A$12,LARGE(Q66:Q68,1)&lt;=$B$12),500,IF(AND(LARGE(Q66:Q68,1)&gt;=$A$13,LARGE(Q66:Q68,1)&lt;=$B$13),600,IF(AND(LARGE(Q66:Q68,1)&gt;=$A$14,LARGE(Q66:Q68,1)&lt;=$B$14),700,IF(AND(LARGE(Q66:Q68,1)&gt;=$A$15,LARGE(Q66:Q68,1)&lt;=$B$15),800,IF(AND(LARGE(Q66:Q68,1)&gt;=$A$16,LARGE(Q66:Q68,1)&lt;=$B$16),900,IF(AND(LARGE(Q66:Q68,1)&gt;=$A$17,LARGE(Q66:Q68,1)&lt;=$B$17),1000,IF(AND(LARGE(Q66:Q68,1)&gt;=$A$18,LARGE(Q66:Q68,1)&lt;=$B$18),1100,IF(AND(LARGE(Q66:Q68,1)&gt;=$A$19,LARGE(Q66:Q68,1)&lt;=$B$19),1200)))))))))</f>
        <v>500</v>
      </c>
      <c r="D67" s="141">
        <f t="shared" si="2"/>
        <v>0</v>
      </c>
      <c r="E67" s="141">
        <f>IFERROR(DGET($BV$30:$CC$82,F67,G66:G67),"")</f>
        <v>1</v>
      </c>
      <c r="F67" s="142" t="str">
        <f t="shared" si="42"/>
        <v>DESCONTÍNUO</v>
      </c>
      <c r="G67" s="142" t="str">
        <f>IF(Q67&gt;0,IF(AND(S67&gt;0,S67&lt;2),CONCATENATE(Q67," ","0-2"),IF(AND(S67&gt;=2,S67&lt;8),CONCATENATE(Q67," ","2-8"),)))</f>
        <v>400 0-2</v>
      </c>
      <c r="H67" s="80">
        <f t="shared" si="3"/>
        <v>0</v>
      </c>
      <c r="I67" s="80" t="str">
        <f t="shared" si="4"/>
        <v>BSTC400</v>
      </c>
      <c r="J67" s="76" t="s">
        <v>198</v>
      </c>
      <c r="K67" s="76" t="s">
        <v>177</v>
      </c>
      <c r="L67" s="76" t="s">
        <v>201</v>
      </c>
      <c r="M67" s="80"/>
      <c r="N67" s="79">
        <f>5.5+5.44+5.42+5.47+5.55+4.9+4.9+4.9+4.9+4.9</f>
        <v>51.879999999999995</v>
      </c>
      <c r="O67" s="148">
        <v>5.0000000000000001E-3</v>
      </c>
      <c r="P67" s="77">
        <f t="shared" si="5"/>
        <v>51.880648495946922</v>
      </c>
      <c r="Q67" s="81">
        <v>400</v>
      </c>
      <c r="R67" s="77"/>
      <c r="S67" s="146">
        <f t="shared" ref="S67:S130" si="61">IF(AND(L67="água"),((R66+R68)/2)+((H67/1000))+BJ67+VLOOKUP(Q67,$CH$31:$CI$52,2,0)+VLOOKUP(Q67,$CF$31:$CG$52,2,0),IF(Q67&gt;0,((R66+R68)/2)+((H67/1000))+BJ67,0))</f>
        <v>1.6</v>
      </c>
      <c r="T67" s="141" t="b">
        <f t="shared" si="43"/>
        <v>0</v>
      </c>
      <c r="U67" s="649">
        <f t="shared" si="7"/>
        <v>0</v>
      </c>
      <c r="V67" s="650"/>
      <c r="W67" s="649">
        <f t="shared" si="8"/>
        <v>0</v>
      </c>
      <c r="X67" s="650"/>
      <c r="Y67" s="649">
        <f t="shared" si="9"/>
        <v>0</v>
      </c>
      <c r="Z67" s="650"/>
      <c r="AA67" s="649">
        <f t="shared" si="10"/>
        <v>77.820972743920379</v>
      </c>
      <c r="AB67" s="650"/>
      <c r="AC67" s="649">
        <f t="shared" si="11"/>
        <v>5.1880648495946966</v>
      </c>
      <c r="AD67" s="650"/>
      <c r="AE67" s="649">
        <f t="shared" si="12"/>
        <v>0</v>
      </c>
      <c r="AF67" s="650"/>
      <c r="AG67" s="649">
        <f t="shared" si="13"/>
        <v>0</v>
      </c>
      <c r="AH67" s="650"/>
      <c r="AI67" s="649">
        <f t="shared" si="14"/>
        <v>0</v>
      </c>
      <c r="AJ67" s="650"/>
      <c r="AK67" s="649">
        <f t="shared" si="15"/>
        <v>0</v>
      </c>
      <c r="AL67" s="650"/>
      <c r="AM67" s="649">
        <f t="shared" si="16"/>
        <v>0</v>
      </c>
      <c r="AN67" s="650"/>
      <c r="AO67" s="649">
        <f t="shared" si="17"/>
        <v>0</v>
      </c>
      <c r="AP67" s="650"/>
      <c r="AQ67" s="649">
        <f t="shared" si="18"/>
        <v>0</v>
      </c>
      <c r="AR67" s="650"/>
      <c r="AS67" s="651">
        <f t="shared" si="19"/>
        <v>0</v>
      </c>
      <c r="AT67" s="652"/>
      <c r="AU67" s="141">
        <f t="shared" si="20"/>
        <v>0</v>
      </c>
      <c r="AV67" s="141">
        <f t="shared" si="21"/>
        <v>166.01807518703015</v>
      </c>
      <c r="AW67" s="141">
        <f t="shared" si="22"/>
        <v>0</v>
      </c>
      <c r="AX67" s="141">
        <f t="shared" si="23"/>
        <v>0</v>
      </c>
      <c r="AY67" s="141">
        <f t="shared" si="24"/>
        <v>0</v>
      </c>
      <c r="AZ67" s="141">
        <f t="shared" si="25"/>
        <v>0</v>
      </c>
      <c r="BA67" s="141">
        <f t="shared" si="26"/>
        <v>83.009037593515075</v>
      </c>
      <c r="BB67" s="141">
        <f t="shared" si="27"/>
        <v>69.74503872190833</v>
      </c>
      <c r="BC67" s="141">
        <f t="shared" si="28"/>
        <v>13.263998871606745</v>
      </c>
      <c r="BD67" s="141">
        <f t="shared" si="29"/>
        <v>0</v>
      </c>
      <c r="BE67" s="141">
        <f t="shared" si="30"/>
        <v>51.880648495946922</v>
      </c>
      <c r="BF67" s="141">
        <f t="shared" si="31"/>
        <v>0</v>
      </c>
      <c r="BG67" s="141">
        <f t="shared" si="32"/>
        <v>0</v>
      </c>
      <c r="BH67" s="141">
        <f t="shared" si="33"/>
        <v>0</v>
      </c>
      <c r="BI67" s="141">
        <f t="shared" si="34"/>
        <v>0</v>
      </c>
      <c r="BJ67" s="147">
        <f t="shared" si="35"/>
        <v>0</v>
      </c>
      <c r="BK67" s="141">
        <f t="shared" si="36"/>
        <v>6.7444843044731</v>
      </c>
      <c r="BL67" s="141">
        <f t="shared" si="37"/>
        <v>22.827485338216647</v>
      </c>
      <c r="BM67" s="141">
        <f t="shared" si="38"/>
        <v>51.880648495946922</v>
      </c>
      <c r="BN67" s="141">
        <f t="shared" si="39"/>
        <v>0</v>
      </c>
      <c r="BO67" s="141">
        <f t="shared" si="40"/>
        <v>0</v>
      </c>
      <c r="BP67" s="141">
        <f t="shared" si="41"/>
        <v>0</v>
      </c>
      <c r="BS67" s="153"/>
      <c r="BT67" s="154">
        <v>2100</v>
      </c>
      <c r="BU67" s="155" t="s">
        <v>537</v>
      </c>
      <c r="BV67" s="156" t="s">
        <v>575</v>
      </c>
      <c r="BW67" s="157">
        <v>3.45</v>
      </c>
      <c r="BX67" s="158">
        <v>3.45</v>
      </c>
      <c r="BY67" s="157">
        <v>3.45</v>
      </c>
      <c r="BZ67" s="158">
        <v>3.45</v>
      </c>
      <c r="CA67" s="158">
        <v>3.45</v>
      </c>
      <c r="CB67" s="158">
        <v>3.45</v>
      </c>
      <c r="CC67" s="158">
        <v>3.45</v>
      </c>
      <c r="CF67" s="166">
        <v>1300</v>
      </c>
      <c r="CG67" s="167">
        <v>1.07</v>
      </c>
      <c r="CH67" s="166">
        <v>1300</v>
      </c>
      <c r="CI67" s="167">
        <v>1.44</v>
      </c>
    </row>
    <row r="68" spans="2:89" s="108" customFormat="1">
      <c r="B68" s="109"/>
      <c r="C68" s="141">
        <f t="shared" si="60"/>
        <v>500</v>
      </c>
      <c r="D68" s="141">
        <f t="shared" si="2"/>
        <v>0.5</v>
      </c>
      <c r="E68" s="141"/>
      <c r="F68" s="142">
        <f t="shared" si="42"/>
        <v>0</v>
      </c>
      <c r="G68" s="143" t="s">
        <v>146</v>
      </c>
      <c r="H68" s="80">
        <f t="shared" si="3"/>
        <v>0</v>
      </c>
      <c r="I68" s="80" t="str">
        <f t="shared" si="4"/>
        <v/>
      </c>
      <c r="J68" s="144"/>
      <c r="K68" s="144"/>
      <c r="L68" s="144"/>
      <c r="M68" s="76" t="s">
        <v>93</v>
      </c>
      <c r="N68" s="77"/>
      <c r="O68" s="145"/>
      <c r="P68" s="77">
        <f t="shared" si="5"/>
        <v>0</v>
      </c>
      <c r="Q68" s="78"/>
      <c r="R68" s="79">
        <v>1.7</v>
      </c>
      <c r="S68" s="146">
        <f t="shared" si="61"/>
        <v>0</v>
      </c>
      <c r="T68" s="141">
        <f t="shared" si="43"/>
        <v>0.19999999999999996</v>
      </c>
      <c r="U68" s="649">
        <f t="shared" si="7"/>
        <v>0</v>
      </c>
      <c r="V68" s="650"/>
      <c r="W68" s="649">
        <f t="shared" si="8"/>
        <v>0</v>
      </c>
      <c r="X68" s="650"/>
      <c r="Y68" s="649">
        <f t="shared" si="9"/>
        <v>0</v>
      </c>
      <c r="Z68" s="650"/>
      <c r="AA68" s="649">
        <f t="shared" si="10"/>
        <v>0</v>
      </c>
      <c r="AB68" s="650"/>
      <c r="AC68" s="649">
        <f t="shared" si="11"/>
        <v>0</v>
      </c>
      <c r="AD68" s="650"/>
      <c r="AE68" s="649">
        <f t="shared" si="12"/>
        <v>0</v>
      </c>
      <c r="AF68" s="650"/>
      <c r="AG68" s="649">
        <f t="shared" si="13"/>
        <v>0</v>
      </c>
      <c r="AH68" s="650"/>
      <c r="AI68" s="649">
        <f t="shared" si="14"/>
        <v>0</v>
      </c>
      <c r="AJ68" s="650"/>
      <c r="AK68" s="649">
        <f t="shared" si="15"/>
        <v>0</v>
      </c>
      <c r="AL68" s="650"/>
      <c r="AM68" s="649">
        <f t="shared" si="16"/>
        <v>0</v>
      </c>
      <c r="AN68" s="650"/>
      <c r="AO68" s="649">
        <f t="shared" si="17"/>
        <v>0</v>
      </c>
      <c r="AP68" s="650"/>
      <c r="AQ68" s="649">
        <f t="shared" si="18"/>
        <v>0</v>
      </c>
      <c r="AR68" s="650"/>
      <c r="AS68" s="651">
        <f t="shared" si="19"/>
        <v>0</v>
      </c>
      <c r="AT68" s="652"/>
      <c r="AU68" s="141">
        <f t="shared" si="20"/>
        <v>0</v>
      </c>
      <c r="AV68" s="141">
        <f t="shared" si="21"/>
        <v>0</v>
      </c>
      <c r="AW68" s="141">
        <f t="shared" si="22"/>
        <v>0</v>
      </c>
      <c r="AX68" s="141">
        <f t="shared" si="23"/>
        <v>0</v>
      </c>
      <c r="AY68" s="141">
        <f t="shared" si="24"/>
        <v>0</v>
      </c>
      <c r="AZ68" s="141">
        <f t="shared" si="25"/>
        <v>0</v>
      </c>
      <c r="BA68" s="141">
        <f t="shared" si="26"/>
        <v>0</v>
      </c>
      <c r="BB68" s="141">
        <f t="shared" si="27"/>
        <v>0</v>
      </c>
      <c r="BC68" s="141">
        <f t="shared" si="28"/>
        <v>0</v>
      </c>
      <c r="BD68" s="141">
        <f t="shared" si="29"/>
        <v>0</v>
      </c>
      <c r="BE68" s="141">
        <f t="shared" si="30"/>
        <v>0</v>
      </c>
      <c r="BF68" s="141">
        <f t="shared" si="31"/>
        <v>0</v>
      </c>
      <c r="BG68" s="141">
        <f t="shared" si="32"/>
        <v>0</v>
      </c>
      <c r="BH68" s="141">
        <f t="shared" si="33"/>
        <v>0</v>
      </c>
      <c r="BI68" s="141">
        <f t="shared" si="34"/>
        <v>0</v>
      </c>
      <c r="BJ68" s="147">
        <f t="shared" si="35"/>
        <v>0</v>
      </c>
      <c r="BK68" s="141">
        <f t="shared" si="36"/>
        <v>0</v>
      </c>
      <c r="BL68" s="141">
        <f t="shared" si="37"/>
        <v>0</v>
      </c>
      <c r="BM68" s="141">
        <f t="shared" si="38"/>
        <v>0</v>
      </c>
      <c r="BN68" s="141">
        <f t="shared" si="39"/>
        <v>0</v>
      </c>
      <c r="BO68" s="141">
        <f t="shared" si="40"/>
        <v>0</v>
      </c>
      <c r="BP68" s="141">
        <f t="shared" si="41"/>
        <v>0</v>
      </c>
      <c r="BS68" s="153"/>
      <c r="BT68" s="154">
        <v>2100</v>
      </c>
      <c r="BU68" s="155" t="s">
        <v>539</v>
      </c>
      <c r="BV68" s="156" t="s">
        <v>576</v>
      </c>
      <c r="BW68" s="157">
        <v>3.45</v>
      </c>
      <c r="BX68" s="158">
        <v>3.45</v>
      </c>
      <c r="BY68" s="157">
        <v>3.45</v>
      </c>
      <c r="BZ68" s="158">
        <v>3.45</v>
      </c>
      <c r="CA68" s="158">
        <v>3.45</v>
      </c>
      <c r="CB68" s="158">
        <v>3.45</v>
      </c>
      <c r="CC68" s="158">
        <v>3.45</v>
      </c>
      <c r="CF68" s="166">
        <v>1500</v>
      </c>
      <c r="CG68" s="167">
        <v>1.5</v>
      </c>
      <c r="CH68" s="166">
        <v>1500</v>
      </c>
      <c r="CI68" s="167">
        <v>1.66</v>
      </c>
    </row>
    <row r="69" spans="2:89" s="108" customFormat="1">
      <c r="B69" s="109"/>
      <c r="C69" s="141" t="e">
        <f t="shared" si="60"/>
        <v>#NUM!</v>
      </c>
      <c r="D69" s="141">
        <f t="shared" si="2"/>
        <v>0</v>
      </c>
      <c r="E69" s="141" t="str">
        <f>IFERROR(DGET($BV$30:$CC$82,F69,G68:G69),"")</f>
        <v/>
      </c>
      <c r="F69" s="142">
        <f t="shared" si="42"/>
        <v>0</v>
      </c>
      <c r="G69" s="142" t="b">
        <f>IF(Q69&gt;0,IF(AND(S69&gt;0,S69&lt;2),CONCATENATE(Q69," ","0-2"),IF(AND(S69&gt;=2,S69&lt;8),CONCATENATE(Q69," ","2-8"),)))</f>
        <v>0</v>
      </c>
      <c r="H69" s="80">
        <f t="shared" si="3"/>
        <v>0</v>
      </c>
      <c r="I69" s="80" t="str">
        <f t="shared" si="4"/>
        <v/>
      </c>
      <c r="J69" s="76"/>
      <c r="K69" s="76"/>
      <c r="L69" s="76"/>
      <c r="M69" s="80"/>
      <c r="N69" s="79"/>
      <c r="O69" s="148"/>
      <c r="P69" s="77">
        <f t="shared" si="5"/>
        <v>0</v>
      </c>
      <c r="Q69" s="81"/>
      <c r="R69" s="77"/>
      <c r="S69" s="146">
        <f t="shared" si="61"/>
        <v>0</v>
      </c>
      <c r="T69" s="141" t="b">
        <f t="shared" si="43"/>
        <v>0</v>
      </c>
      <c r="U69" s="649">
        <f t="shared" si="7"/>
        <v>0</v>
      </c>
      <c r="V69" s="650"/>
      <c r="W69" s="649">
        <f t="shared" si="8"/>
        <v>0</v>
      </c>
      <c r="X69" s="650"/>
      <c r="Y69" s="649">
        <f t="shared" si="9"/>
        <v>0</v>
      </c>
      <c r="Z69" s="650"/>
      <c r="AA69" s="649">
        <f t="shared" si="10"/>
        <v>0</v>
      </c>
      <c r="AB69" s="650"/>
      <c r="AC69" s="649">
        <f t="shared" si="11"/>
        <v>0</v>
      </c>
      <c r="AD69" s="650"/>
      <c r="AE69" s="649">
        <f t="shared" si="12"/>
        <v>0</v>
      </c>
      <c r="AF69" s="650"/>
      <c r="AG69" s="649">
        <f t="shared" si="13"/>
        <v>0</v>
      </c>
      <c r="AH69" s="650"/>
      <c r="AI69" s="649">
        <f t="shared" si="14"/>
        <v>0</v>
      </c>
      <c r="AJ69" s="650"/>
      <c r="AK69" s="649">
        <f t="shared" si="15"/>
        <v>0</v>
      </c>
      <c r="AL69" s="650"/>
      <c r="AM69" s="649">
        <f t="shared" si="16"/>
        <v>0</v>
      </c>
      <c r="AN69" s="650"/>
      <c r="AO69" s="649">
        <f t="shared" si="17"/>
        <v>0</v>
      </c>
      <c r="AP69" s="650"/>
      <c r="AQ69" s="649">
        <f t="shared" si="18"/>
        <v>0</v>
      </c>
      <c r="AR69" s="650"/>
      <c r="AS69" s="651">
        <f t="shared" si="19"/>
        <v>0</v>
      </c>
      <c r="AT69" s="652"/>
      <c r="AU69" s="141">
        <f t="shared" si="20"/>
        <v>0</v>
      </c>
      <c r="AV69" s="141">
        <f t="shared" si="21"/>
        <v>0</v>
      </c>
      <c r="AW69" s="141">
        <f t="shared" si="22"/>
        <v>0</v>
      </c>
      <c r="AX69" s="141">
        <f t="shared" si="23"/>
        <v>0</v>
      </c>
      <c r="AY69" s="141">
        <f t="shared" si="24"/>
        <v>0</v>
      </c>
      <c r="AZ69" s="141">
        <f t="shared" si="25"/>
        <v>0</v>
      </c>
      <c r="BA69" s="141">
        <f t="shared" si="26"/>
        <v>0</v>
      </c>
      <c r="BB69" s="141">
        <f t="shared" si="27"/>
        <v>0</v>
      </c>
      <c r="BC69" s="141">
        <f t="shared" si="28"/>
        <v>0</v>
      </c>
      <c r="BD69" s="141">
        <f t="shared" si="29"/>
        <v>0</v>
      </c>
      <c r="BE69" s="141">
        <f t="shared" si="30"/>
        <v>0</v>
      </c>
      <c r="BF69" s="141">
        <f t="shared" si="31"/>
        <v>0</v>
      </c>
      <c r="BG69" s="141">
        <f t="shared" si="32"/>
        <v>0</v>
      </c>
      <c r="BH69" s="141">
        <f t="shared" si="33"/>
        <v>0</v>
      </c>
      <c r="BI69" s="141">
        <f t="shared" si="34"/>
        <v>0</v>
      </c>
      <c r="BJ69" s="147">
        <f t="shared" si="35"/>
        <v>0</v>
      </c>
      <c r="BK69" s="141">
        <f t="shared" si="36"/>
        <v>0</v>
      </c>
      <c r="BL69" s="141">
        <f t="shared" si="37"/>
        <v>0</v>
      </c>
      <c r="BM69" s="141">
        <f t="shared" si="38"/>
        <v>0</v>
      </c>
      <c r="BN69" s="141">
        <f t="shared" si="39"/>
        <v>0</v>
      </c>
      <c r="BO69" s="141">
        <f t="shared" si="40"/>
        <v>0</v>
      </c>
      <c r="BP69" s="141">
        <f t="shared" si="41"/>
        <v>0</v>
      </c>
      <c r="BS69" s="153"/>
      <c r="BT69" s="154">
        <v>2500</v>
      </c>
      <c r="BU69" s="155" t="s">
        <v>537</v>
      </c>
      <c r="BV69" s="156" t="s">
        <v>577</v>
      </c>
      <c r="BW69" s="157">
        <v>3.9</v>
      </c>
      <c r="BX69" s="158">
        <v>3.9</v>
      </c>
      <c r="BY69" s="157">
        <v>3.9</v>
      </c>
      <c r="BZ69" s="158">
        <v>3.9</v>
      </c>
      <c r="CA69" s="158">
        <v>3.9</v>
      </c>
      <c r="CB69" s="158">
        <v>3.9</v>
      </c>
      <c r="CC69" s="158">
        <v>3.9</v>
      </c>
      <c r="CF69" s="166"/>
      <c r="CG69" s="167"/>
      <c r="CH69" s="166"/>
      <c r="CI69" s="167"/>
    </row>
    <row r="70" spans="2:89" s="108" customFormat="1">
      <c r="B70" s="109"/>
      <c r="C70" s="141">
        <f t="shared" si="60"/>
        <v>600</v>
      </c>
      <c r="D70" s="141">
        <f t="shared" si="2"/>
        <v>0.5</v>
      </c>
      <c r="E70" s="141"/>
      <c r="F70" s="142">
        <f t="shared" si="42"/>
        <v>0</v>
      </c>
      <c r="G70" s="143" t="s">
        <v>146</v>
      </c>
      <c r="H70" s="80">
        <f t="shared" si="3"/>
        <v>0</v>
      </c>
      <c r="I70" s="80" t="str">
        <f t="shared" si="4"/>
        <v/>
      </c>
      <c r="J70" s="144"/>
      <c r="K70" s="210" t="s">
        <v>377</v>
      </c>
      <c r="L70" s="144"/>
      <c r="M70" s="76" t="s">
        <v>93</v>
      </c>
      <c r="N70" s="77"/>
      <c r="O70" s="145"/>
      <c r="P70" s="77">
        <f t="shared" si="5"/>
        <v>0</v>
      </c>
      <c r="Q70" s="78"/>
      <c r="R70" s="79">
        <v>1.8</v>
      </c>
      <c r="S70" s="146">
        <f t="shared" si="61"/>
        <v>0</v>
      </c>
      <c r="T70" s="141">
        <f t="shared" si="43"/>
        <v>0.30000000000000004</v>
      </c>
      <c r="U70" s="649">
        <f t="shared" si="7"/>
        <v>0</v>
      </c>
      <c r="V70" s="650"/>
      <c r="W70" s="649">
        <f t="shared" si="8"/>
        <v>0</v>
      </c>
      <c r="X70" s="650"/>
      <c r="Y70" s="649">
        <f t="shared" si="9"/>
        <v>0</v>
      </c>
      <c r="Z70" s="650"/>
      <c r="AA70" s="649">
        <f t="shared" si="10"/>
        <v>0</v>
      </c>
      <c r="AB70" s="650"/>
      <c r="AC70" s="649">
        <f t="shared" si="11"/>
        <v>0</v>
      </c>
      <c r="AD70" s="650"/>
      <c r="AE70" s="649">
        <f t="shared" si="12"/>
        <v>0</v>
      </c>
      <c r="AF70" s="650"/>
      <c r="AG70" s="649">
        <f t="shared" si="13"/>
        <v>0</v>
      </c>
      <c r="AH70" s="650"/>
      <c r="AI70" s="649">
        <f t="shared" si="14"/>
        <v>0</v>
      </c>
      <c r="AJ70" s="650"/>
      <c r="AK70" s="649">
        <f t="shared" si="15"/>
        <v>0</v>
      </c>
      <c r="AL70" s="650"/>
      <c r="AM70" s="649">
        <f t="shared" si="16"/>
        <v>0</v>
      </c>
      <c r="AN70" s="650"/>
      <c r="AO70" s="649">
        <f t="shared" si="17"/>
        <v>0</v>
      </c>
      <c r="AP70" s="650"/>
      <c r="AQ70" s="649">
        <f t="shared" si="18"/>
        <v>0</v>
      </c>
      <c r="AR70" s="650"/>
      <c r="AS70" s="651">
        <f t="shared" si="19"/>
        <v>0</v>
      </c>
      <c r="AT70" s="652"/>
      <c r="AU70" s="141">
        <f t="shared" si="20"/>
        <v>0</v>
      </c>
      <c r="AV70" s="141">
        <f t="shared" si="21"/>
        <v>0</v>
      </c>
      <c r="AW70" s="141">
        <f t="shared" si="22"/>
        <v>0</v>
      </c>
      <c r="AX70" s="141">
        <f t="shared" si="23"/>
        <v>0</v>
      </c>
      <c r="AY70" s="141">
        <f t="shared" si="24"/>
        <v>0</v>
      </c>
      <c r="AZ70" s="141">
        <f t="shared" si="25"/>
        <v>0</v>
      </c>
      <c r="BA70" s="141">
        <f t="shared" si="26"/>
        <v>0</v>
      </c>
      <c r="BB70" s="141">
        <f t="shared" si="27"/>
        <v>0</v>
      </c>
      <c r="BC70" s="141">
        <f t="shared" si="28"/>
        <v>0</v>
      </c>
      <c r="BD70" s="141">
        <f t="shared" si="29"/>
        <v>0</v>
      </c>
      <c r="BE70" s="141">
        <f t="shared" si="30"/>
        <v>0</v>
      </c>
      <c r="BF70" s="141">
        <f t="shared" si="31"/>
        <v>0</v>
      </c>
      <c r="BG70" s="141">
        <f t="shared" si="32"/>
        <v>0</v>
      </c>
      <c r="BH70" s="141">
        <f t="shared" si="33"/>
        <v>0</v>
      </c>
      <c r="BI70" s="141">
        <f t="shared" si="34"/>
        <v>0</v>
      </c>
      <c r="BJ70" s="147">
        <f t="shared" si="35"/>
        <v>0</v>
      </c>
      <c r="BK70" s="141">
        <f t="shared" si="36"/>
        <v>0</v>
      </c>
      <c r="BL70" s="141">
        <f t="shared" si="37"/>
        <v>0</v>
      </c>
      <c r="BM70" s="141">
        <f t="shared" si="38"/>
        <v>0</v>
      </c>
      <c r="BN70" s="141">
        <f t="shared" si="39"/>
        <v>0</v>
      </c>
      <c r="BO70" s="141">
        <f t="shared" si="40"/>
        <v>0</v>
      </c>
      <c r="BP70" s="141">
        <f t="shared" si="41"/>
        <v>0</v>
      </c>
      <c r="BS70" s="153"/>
      <c r="BT70" s="154">
        <v>2500</v>
      </c>
      <c r="BU70" s="155" t="s">
        <v>539</v>
      </c>
      <c r="BV70" s="156" t="s">
        <v>578</v>
      </c>
      <c r="BW70" s="157">
        <v>3.9</v>
      </c>
      <c r="BX70" s="158">
        <v>3.9</v>
      </c>
      <c r="BY70" s="157">
        <v>3.9</v>
      </c>
      <c r="BZ70" s="158">
        <v>3.9</v>
      </c>
      <c r="CA70" s="158">
        <v>3.9</v>
      </c>
      <c r="CB70" s="158">
        <v>3.9</v>
      </c>
      <c r="CC70" s="158">
        <v>3.9</v>
      </c>
      <c r="CF70" s="166"/>
      <c r="CG70" s="167"/>
      <c r="CH70" s="166"/>
      <c r="CI70" s="167"/>
    </row>
    <row r="71" spans="2:89" s="108" customFormat="1">
      <c r="B71" s="109"/>
      <c r="C71" s="141">
        <f t="shared" si="60"/>
        <v>600</v>
      </c>
      <c r="D71" s="141">
        <f t="shared" si="2"/>
        <v>0</v>
      </c>
      <c r="E71" s="141">
        <f>IFERROR(DGET($BV$30:$CC$82,F71,G70:G71),"")</f>
        <v>1.25</v>
      </c>
      <c r="F71" s="142" t="str">
        <f t="shared" si="42"/>
        <v>DESCONTÍNUO</v>
      </c>
      <c r="G71" s="142" t="str">
        <f>IF(Q71&gt;0,IF(AND(S71&gt;0,S71&lt;2),CONCATENATE(Q71," ","0-2"),IF(AND(S71&gt;=2,S71&lt;8),CONCATENATE(Q71," ","2-8"),)))</f>
        <v>600 0-2</v>
      </c>
      <c r="H71" s="80">
        <f t="shared" si="3"/>
        <v>0</v>
      </c>
      <c r="I71" s="80" t="str">
        <f t="shared" si="4"/>
        <v>BSTC600</v>
      </c>
      <c r="J71" s="76" t="s">
        <v>198</v>
      </c>
      <c r="K71" s="76" t="s">
        <v>177</v>
      </c>
      <c r="L71" s="76" t="s">
        <v>201</v>
      </c>
      <c r="M71" s="80"/>
      <c r="N71" s="79">
        <f>6.1*10</f>
        <v>61</v>
      </c>
      <c r="O71" s="148">
        <v>5.0000000000000001E-3</v>
      </c>
      <c r="P71" s="77">
        <f t="shared" si="5"/>
        <v>61.000762495234433</v>
      </c>
      <c r="Q71" s="81">
        <v>600</v>
      </c>
      <c r="R71" s="77"/>
      <c r="S71" s="146">
        <f t="shared" si="61"/>
        <v>1.9</v>
      </c>
      <c r="T71" s="141" t="b">
        <f t="shared" si="43"/>
        <v>0</v>
      </c>
      <c r="U71" s="649">
        <f t="shared" si="7"/>
        <v>0</v>
      </c>
      <c r="V71" s="650"/>
      <c r="W71" s="649">
        <f t="shared" si="8"/>
        <v>0</v>
      </c>
      <c r="X71" s="650"/>
      <c r="Y71" s="649">
        <f t="shared" si="9"/>
        <v>0</v>
      </c>
      <c r="Z71" s="650"/>
      <c r="AA71" s="649">
        <f t="shared" si="10"/>
        <v>114.37642967856456</v>
      </c>
      <c r="AB71" s="650"/>
      <c r="AC71" s="649">
        <f t="shared" si="11"/>
        <v>30.500381247617206</v>
      </c>
      <c r="AD71" s="650"/>
      <c r="AE71" s="649">
        <f t="shared" si="12"/>
        <v>0</v>
      </c>
      <c r="AF71" s="650"/>
      <c r="AG71" s="649">
        <f t="shared" si="13"/>
        <v>0</v>
      </c>
      <c r="AH71" s="650"/>
      <c r="AI71" s="649">
        <f t="shared" si="14"/>
        <v>0</v>
      </c>
      <c r="AJ71" s="650"/>
      <c r="AK71" s="649">
        <f t="shared" si="15"/>
        <v>0</v>
      </c>
      <c r="AL71" s="650"/>
      <c r="AM71" s="649">
        <f t="shared" si="16"/>
        <v>0</v>
      </c>
      <c r="AN71" s="650"/>
      <c r="AO71" s="649">
        <f t="shared" si="17"/>
        <v>0</v>
      </c>
      <c r="AP71" s="650"/>
      <c r="AQ71" s="649">
        <f t="shared" si="18"/>
        <v>0</v>
      </c>
      <c r="AR71" s="650"/>
      <c r="AS71" s="651">
        <f t="shared" si="19"/>
        <v>0</v>
      </c>
      <c r="AT71" s="652"/>
      <c r="AU71" s="141">
        <f t="shared" si="20"/>
        <v>0</v>
      </c>
      <c r="AV71" s="141">
        <f t="shared" si="21"/>
        <v>231.80289748189082</v>
      </c>
      <c r="AW71" s="141">
        <f t="shared" si="22"/>
        <v>0</v>
      </c>
      <c r="AX71" s="141">
        <f t="shared" si="23"/>
        <v>0</v>
      </c>
      <c r="AY71" s="141">
        <f t="shared" si="24"/>
        <v>0</v>
      </c>
      <c r="AZ71" s="141">
        <f t="shared" si="25"/>
        <v>0</v>
      </c>
      <c r="BA71" s="141">
        <f t="shared" si="26"/>
        <v>144.87681092618178</v>
      </c>
      <c r="BB71" s="141">
        <f t="shared" si="27"/>
        <v>112.37906104371677</v>
      </c>
      <c r="BC71" s="141">
        <f t="shared" si="28"/>
        <v>32.497749882465001</v>
      </c>
      <c r="BD71" s="141">
        <f t="shared" si="29"/>
        <v>0</v>
      </c>
      <c r="BE71" s="141">
        <f t="shared" si="30"/>
        <v>76.250953119043047</v>
      </c>
      <c r="BF71" s="141">
        <f t="shared" si="31"/>
        <v>0</v>
      </c>
      <c r="BG71" s="141">
        <f t="shared" si="32"/>
        <v>0</v>
      </c>
      <c r="BH71" s="141">
        <f t="shared" si="33"/>
        <v>0</v>
      </c>
      <c r="BI71" s="141">
        <f t="shared" si="34"/>
        <v>0</v>
      </c>
      <c r="BJ71" s="147">
        <f t="shared" si="35"/>
        <v>0</v>
      </c>
      <c r="BK71" s="141">
        <f t="shared" si="36"/>
        <v>15.250190623808608</v>
      </c>
      <c r="BL71" s="141">
        <f t="shared" si="37"/>
        <v>40.260503246854725</v>
      </c>
      <c r="BM71" s="141">
        <f t="shared" si="38"/>
        <v>76.250953119043047</v>
      </c>
      <c r="BN71" s="141">
        <f t="shared" si="39"/>
        <v>0</v>
      </c>
      <c r="BO71" s="141">
        <f t="shared" si="40"/>
        <v>0</v>
      </c>
      <c r="BP71" s="141">
        <f t="shared" si="41"/>
        <v>0</v>
      </c>
      <c r="BS71" s="153"/>
      <c r="BT71" s="154"/>
      <c r="BU71" s="155"/>
      <c r="BV71" s="156"/>
      <c r="BW71" s="157"/>
      <c r="BX71" s="158"/>
      <c r="BY71" s="157"/>
      <c r="BZ71" s="158"/>
      <c r="CA71" s="158"/>
      <c r="CB71" s="158"/>
      <c r="CC71" s="158"/>
      <c r="CF71" s="168"/>
      <c r="CG71" s="169"/>
      <c r="CH71" s="168"/>
      <c r="CI71" s="169"/>
    </row>
    <row r="72" spans="2:89" s="108" customFormat="1">
      <c r="B72" s="109"/>
      <c r="C72" s="141">
        <f t="shared" si="60"/>
        <v>600</v>
      </c>
      <c r="D72" s="141">
        <f t="shared" si="2"/>
        <v>0</v>
      </c>
      <c r="E72" s="141"/>
      <c r="F72" s="142">
        <f t="shared" si="42"/>
        <v>0</v>
      </c>
      <c r="G72" s="143" t="s">
        <v>146</v>
      </c>
      <c r="H72" s="80">
        <f t="shared" si="3"/>
        <v>0</v>
      </c>
      <c r="I72" s="80" t="str">
        <f t="shared" si="4"/>
        <v/>
      </c>
      <c r="J72" s="144"/>
      <c r="K72" s="144"/>
      <c r="L72" s="144"/>
      <c r="M72" s="76" t="s">
        <v>376</v>
      </c>
      <c r="N72" s="77"/>
      <c r="O72" s="145"/>
      <c r="P72" s="77">
        <f t="shared" si="5"/>
        <v>0</v>
      </c>
      <c r="Q72" s="78"/>
      <c r="R72" s="79">
        <v>2</v>
      </c>
      <c r="S72" s="146">
        <f t="shared" si="61"/>
        <v>0</v>
      </c>
      <c r="T72" s="141">
        <f t="shared" si="43"/>
        <v>0.5</v>
      </c>
      <c r="U72" s="649">
        <f t="shared" si="7"/>
        <v>0</v>
      </c>
      <c r="V72" s="650"/>
      <c r="W72" s="649">
        <f t="shared" si="8"/>
        <v>0</v>
      </c>
      <c r="X72" s="650"/>
      <c r="Y72" s="649">
        <f t="shared" si="9"/>
        <v>0</v>
      </c>
      <c r="Z72" s="650"/>
      <c r="AA72" s="649">
        <f t="shared" si="10"/>
        <v>0</v>
      </c>
      <c r="AB72" s="650"/>
      <c r="AC72" s="649">
        <f t="shared" si="11"/>
        <v>0</v>
      </c>
      <c r="AD72" s="650"/>
      <c r="AE72" s="649">
        <f t="shared" si="12"/>
        <v>0</v>
      </c>
      <c r="AF72" s="650"/>
      <c r="AG72" s="649">
        <f t="shared" si="13"/>
        <v>0</v>
      </c>
      <c r="AH72" s="650"/>
      <c r="AI72" s="649">
        <f t="shared" si="14"/>
        <v>0</v>
      </c>
      <c r="AJ72" s="650"/>
      <c r="AK72" s="649">
        <f t="shared" si="15"/>
        <v>0</v>
      </c>
      <c r="AL72" s="650"/>
      <c r="AM72" s="649">
        <f t="shared" si="16"/>
        <v>0</v>
      </c>
      <c r="AN72" s="650"/>
      <c r="AO72" s="649">
        <f t="shared" si="17"/>
        <v>0</v>
      </c>
      <c r="AP72" s="650"/>
      <c r="AQ72" s="649">
        <f t="shared" si="18"/>
        <v>0</v>
      </c>
      <c r="AR72" s="650"/>
      <c r="AS72" s="651">
        <f t="shared" si="19"/>
        <v>0</v>
      </c>
      <c r="AT72" s="652"/>
      <c r="AU72" s="141">
        <f t="shared" si="20"/>
        <v>0</v>
      </c>
      <c r="AV72" s="141">
        <f t="shared" si="21"/>
        <v>0</v>
      </c>
      <c r="AW72" s="141">
        <f t="shared" si="22"/>
        <v>0</v>
      </c>
      <c r="AX72" s="141">
        <f t="shared" si="23"/>
        <v>0</v>
      </c>
      <c r="AY72" s="141">
        <f t="shared" si="24"/>
        <v>0</v>
      </c>
      <c r="AZ72" s="141">
        <f t="shared" si="25"/>
        <v>0</v>
      </c>
      <c r="BA72" s="141">
        <f t="shared" si="26"/>
        <v>0</v>
      </c>
      <c r="BB72" s="141">
        <f t="shared" si="27"/>
        <v>0</v>
      </c>
      <c r="BC72" s="141">
        <f t="shared" si="28"/>
        <v>0</v>
      </c>
      <c r="BD72" s="141">
        <f t="shared" si="29"/>
        <v>0</v>
      </c>
      <c r="BE72" s="141">
        <f t="shared" si="30"/>
        <v>0</v>
      </c>
      <c r="BF72" s="141">
        <f t="shared" si="31"/>
        <v>0</v>
      </c>
      <c r="BG72" s="141">
        <f t="shared" si="32"/>
        <v>0</v>
      </c>
      <c r="BH72" s="141">
        <f t="shared" si="33"/>
        <v>0</v>
      </c>
      <c r="BI72" s="141">
        <f t="shared" si="34"/>
        <v>0</v>
      </c>
      <c r="BJ72" s="147">
        <f t="shared" si="35"/>
        <v>0</v>
      </c>
      <c r="BK72" s="141">
        <f t="shared" si="36"/>
        <v>0</v>
      </c>
      <c r="BL72" s="141">
        <f t="shared" si="37"/>
        <v>0</v>
      </c>
      <c r="BM72" s="141">
        <f t="shared" si="38"/>
        <v>0</v>
      </c>
      <c r="BN72" s="141">
        <f t="shared" si="39"/>
        <v>0</v>
      </c>
      <c r="BO72" s="141">
        <f t="shared" si="40"/>
        <v>0</v>
      </c>
      <c r="BP72" s="141">
        <f t="shared" si="41"/>
        <v>0</v>
      </c>
      <c r="BS72" s="153"/>
      <c r="BT72" s="154"/>
      <c r="BU72" s="155"/>
      <c r="BV72" s="156"/>
      <c r="BW72" s="157"/>
      <c r="BX72" s="158"/>
      <c r="BY72" s="157"/>
      <c r="BZ72" s="158"/>
      <c r="CA72" s="158"/>
      <c r="CB72" s="158"/>
      <c r="CC72" s="158"/>
      <c r="CF72" s="170"/>
      <c r="CG72" s="171"/>
      <c r="CH72" s="170"/>
      <c r="CI72" s="171"/>
    </row>
    <row r="73" spans="2:89" s="108" customFormat="1" ht="16.5" hidden="1" customHeight="1">
      <c r="B73" s="109"/>
      <c r="C73" s="141" t="e">
        <f t="shared" si="60"/>
        <v>#NUM!</v>
      </c>
      <c r="D73" s="141">
        <f t="shared" si="2"/>
        <v>0</v>
      </c>
      <c r="E73" s="141" t="str">
        <f>IFERROR(DGET($BV$30:$CC$82,F73,G72:G73),"")</f>
        <v/>
      </c>
      <c r="F73" s="142">
        <f t="shared" si="42"/>
        <v>0</v>
      </c>
      <c r="G73" s="142" t="b">
        <f>IF(Q73&gt;0,IF(AND(S73&gt;0,S73&lt;2),CONCATENATE(Q73," ","0-2"),IF(AND(S73&gt;=2,S73&lt;8),CONCATENATE(Q73," ","2-8"),)))</f>
        <v>0</v>
      </c>
      <c r="H73" s="80">
        <f t="shared" si="3"/>
        <v>0</v>
      </c>
      <c r="I73" s="80" t="str">
        <f t="shared" si="4"/>
        <v/>
      </c>
      <c r="J73" s="76"/>
      <c r="K73" s="76"/>
      <c r="L73" s="76"/>
      <c r="M73" s="80"/>
      <c r="N73" s="79"/>
      <c r="O73" s="148"/>
      <c r="P73" s="77">
        <f t="shared" si="5"/>
        <v>0</v>
      </c>
      <c r="Q73" s="81"/>
      <c r="R73" s="77"/>
      <c r="S73" s="146">
        <f t="shared" si="61"/>
        <v>0</v>
      </c>
      <c r="T73" s="141" t="b">
        <f t="shared" si="43"/>
        <v>0</v>
      </c>
      <c r="U73" s="649">
        <f t="shared" si="7"/>
        <v>0</v>
      </c>
      <c r="V73" s="650"/>
      <c r="W73" s="649">
        <f t="shared" si="8"/>
        <v>0</v>
      </c>
      <c r="X73" s="650"/>
      <c r="Y73" s="649">
        <f t="shared" si="9"/>
        <v>0</v>
      </c>
      <c r="Z73" s="650"/>
      <c r="AA73" s="649">
        <f t="shared" si="10"/>
        <v>0</v>
      </c>
      <c r="AB73" s="650"/>
      <c r="AC73" s="649">
        <f t="shared" si="11"/>
        <v>0</v>
      </c>
      <c r="AD73" s="650"/>
      <c r="AE73" s="649">
        <f t="shared" si="12"/>
        <v>0</v>
      </c>
      <c r="AF73" s="650"/>
      <c r="AG73" s="649">
        <f t="shared" si="13"/>
        <v>0</v>
      </c>
      <c r="AH73" s="650"/>
      <c r="AI73" s="649">
        <f t="shared" si="14"/>
        <v>0</v>
      </c>
      <c r="AJ73" s="650"/>
      <c r="AK73" s="649">
        <f t="shared" si="15"/>
        <v>0</v>
      </c>
      <c r="AL73" s="650"/>
      <c r="AM73" s="649">
        <f t="shared" si="16"/>
        <v>0</v>
      </c>
      <c r="AN73" s="650"/>
      <c r="AO73" s="649">
        <f t="shared" si="17"/>
        <v>0</v>
      </c>
      <c r="AP73" s="650"/>
      <c r="AQ73" s="649">
        <f t="shared" si="18"/>
        <v>0</v>
      </c>
      <c r="AR73" s="650"/>
      <c r="AS73" s="651">
        <f t="shared" si="19"/>
        <v>0</v>
      </c>
      <c r="AT73" s="652"/>
      <c r="AU73" s="141">
        <f t="shared" si="20"/>
        <v>0</v>
      </c>
      <c r="AV73" s="141">
        <f t="shared" si="21"/>
        <v>0</v>
      </c>
      <c r="AW73" s="141">
        <f t="shared" si="22"/>
        <v>0</v>
      </c>
      <c r="AX73" s="141">
        <f t="shared" si="23"/>
        <v>0</v>
      </c>
      <c r="AY73" s="141">
        <f t="shared" si="24"/>
        <v>0</v>
      </c>
      <c r="AZ73" s="141">
        <f t="shared" si="25"/>
        <v>0</v>
      </c>
      <c r="BA73" s="141">
        <f t="shared" si="26"/>
        <v>0</v>
      </c>
      <c r="BB73" s="141">
        <f t="shared" si="27"/>
        <v>0</v>
      </c>
      <c r="BC73" s="141">
        <f t="shared" si="28"/>
        <v>0</v>
      </c>
      <c r="BD73" s="141">
        <f t="shared" si="29"/>
        <v>0</v>
      </c>
      <c r="BE73" s="141">
        <f t="shared" si="30"/>
        <v>0</v>
      </c>
      <c r="BF73" s="141">
        <f t="shared" si="31"/>
        <v>0</v>
      </c>
      <c r="BG73" s="141">
        <f t="shared" si="32"/>
        <v>0</v>
      </c>
      <c r="BH73" s="141">
        <f t="shared" si="33"/>
        <v>0</v>
      </c>
      <c r="BI73" s="141">
        <f t="shared" si="34"/>
        <v>0</v>
      </c>
      <c r="BJ73" s="147">
        <f t="shared" si="35"/>
        <v>0</v>
      </c>
      <c r="BK73" s="141">
        <f t="shared" si="36"/>
        <v>0</v>
      </c>
      <c r="BL73" s="141">
        <f t="shared" si="37"/>
        <v>0</v>
      </c>
      <c r="BM73" s="141">
        <f t="shared" si="38"/>
        <v>0</v>
      </c>
      <c r="BN73" s="141">
        <f t="shared" si="39"/>
        <v>0</v>
      </c>
      <c r="BO73" s="141">
        <f t="shared" si="40"/>
        <v>0</v>
      </c>
      <c r="BP73" s="141">
        <f t="shared" si="41"/>
        <v>0</v>
      </c>
      <c r="BS73" s="153"/>
      <c r="BT73" s="154" t="e">
        <f>#REF!</f>
        <v>#REF!</v>
      </c>
      <c r="BU73" s="155" t="e">
        <f>#REF!</f>
        <v>#REF!</v>
      </c>
      <c r="BV73" s="156" t="e">
        <f t="shared" ref="BV73:BV80" si="62">CONCATENATE(BT73," ",BU73)</f>
        <v>#REF!</v>
      </c>
      <c r="BW73" s="157" t="e">
        <f>#REF!</f>
        <v>#REF!</v>
      </c>
      <c r="BX73" s="158" t="e">
        <f>#REF!</f>
        <v>#REF!</v>
      </c>
      <c r="BY73" s="157" t="e">
        <f>#REF!</f>
        <v>#REF!</v>
      </c>
      <c r="BZ73" s="158" t="e">
        <f>#REF!</f>
        <v>#REF!</v>
      </c>
      <c r="CA73" s="158" t="e">
        <f>#REF!</f>
        <v>#REF!</v>
      </c>
      <c r="CB73" s="158" t="e">
        <f>#REF!</f>
        <v>#REF!</v>
      </c>
      <c r="CC73" s="158" t="e">
        <f>#REF!</f>
        <v>#REF!</v>
      </c>
      <c r="CF73" s="655" t="s">
        <v>193</v>
      </c>
      <c r="CG73" s="656"/>
      <c r="CH73" s="656"/>
      <c r="CI73" s="656"/>
      <c r="CJ73" s="656"/>
      <c r="CK73" s="657"/>
    </row>
    <row r="74" spans="2:89" s="108" customFormat="1" hidden="1">
      <c r="B74" s="109"/>
      <c r="C74" s="141" t="e">
        <f t="shared" si="60"/>
        <v>#NUM!</v>
      </c>
      <c r="D74" s="141">
        <f t="shared" si="2"/>
        <v>0</v>
      </c>
      <c r="E74" s="141"/>
      <c r="F74" s="142">
        <f t="shared" si="42"/>
        <v>0</v>
      </c>
      <c r="G74" s="143" t="s">
        <v>146</v>
      </c>
      <c r="H74" s="80">
        <f t="shared" si="3"/>
        <v>0</v>
      </c>
      <c r="I74" s="80" t="str">
        <f t="shared" si="4"/>
        <v/>
      </c>
      <c r="J74" s="144"/>
      <c r="K74" s="210"/>
      <c r="L74" s="144"/>
      <c r="M74" s="76"/>
      <c r="N74" s="77"/>
      <c r="O74" s="145"/>
      <c r="P74" s="77">
        <f t="shared" si="5"/>
        <v>0</v>
      </c>
      <c r="Q74" s="78"/>
      <c r="R74" s="79"/>
      <c r="S74" s="146">
        <f t="shared" si="61"/>
        <v>0</v>
      </c>
      <c r="T74" s="141" t="b">
        <f t="shared" si="43"/>
        <v>0</v>
      </c>
      <c r="U74" s="649">
        <f t="shared" si="7"/>
        <v>0</v>
      </c>
      <c r="V74" s="650"/>
      <c r="W74" s="649">
        <f t="shared" si="8"/>
        <v>0</v>
      </c>
      <c r="X74" s="650"/>
      <c r="Y74" s="649">
        <f t="shared" si="9"/>
        <v>0</v>
      </c>
      <c r="Z74" s="650"/>
      <c r="AA74" s="649">
        <f t="shared" si="10"/>
        <v>0</v>
      </c>
      <c r="AB74" s="650"/>
      <c r="AC74" s="649">
        <f t="shared" si="11"/>
        <v>0</v>
      </c>
      <c r="AD74" s="650"/>
      <c r="AE74" s="649">
        <f t="shared" si="12"/>
        <v>0</v>
      </c>
      <c r="AF74" s="650"/>
      <c r="AG74" s="649">
        <f t="shared" si="13"/>
        <v>0</v>
      </c>
      <c r="AH74" s="650"/>
      <c r="AI74" s="649">
        <f t="shared" si="14"/>
        <v>0</v>
      </c>
      <c r="AJ74" s="650"/>
      <c r="AK74" s="649">
        <f t="shared" si="15"/>
        <v>0</v>
      </c>
      <c r="AL74" s="650"/>
      <c r="AM74" s="649">
        <f t="shared" si="16"/>
        <v>0</v>
      </c>
      <c r="AN74" s="650"/>
      <c r="AO74" s="649">
        <f t="shared" si="17"/>
        <v>0</v>
      </c>
      <c r="AP74" s="650"/>
      <c r="AQ74" s="649">
        <f t="shared" si="18"/>
        <v>0</v>
      </c>
      <c r="AR74" s="650"/>
      <c r="AS74" s="651">
        <f t="shared" si="19"/>
        <v>0</v>
      </c>
      <c r="AT74" s="652"/>
      <c r="AU74" s="141">
        <f t="shared" si="20"/>
        <v>0</v>
      </c>
      <c r="AV74" s="141">
        <f t="shared" si="21"/>
        <v>0</v>
      </c>
      <c r="AW74" s="141">
        <f t="shared" si="22"/>
        <v>0</v>
      </c>
      <c r="AX74" s="141">
        <f t="shared" si="23"/>
        <v>0</v>
      </c>
      <c r="AY74" s="141">
        <f t="shared" si="24"/>
        <v>0</v>
      </c>
      <c r="AZ74" s="141">
        <f t="shared" si="25"/>
        <v>0</v>
      </c>
      <c r="BA74" s="141">
        <f t="shared" si="26"/>
        <v>0</v>
      </c>
      <c r="BB74" s="141">
        <f t="shared" si="27"/>
        <v>0</v>
      </c>
      <c r="BC74" s="141">
        <f t="shared" si="28"/>
        <v>0</v>
      </c>
      <c r="BD74" s="141">
        <f t="shared" si="29"/>
        <v>0</v>
      </c>
      <c r="BE74" s="141">
        <f t="shared" si="30"/>
        <v>0</v>
      </c>
      <c r="BF74" s="141">
        <f t="shared" si="31"/>
        <v>0</v>
      </c>
      <c r="BG74" s="141">
        <f t="shared" si="32"/>
        <v>0</v>
      </c>
      <c r="BH74" s="141">
        <f t="shared" si="33"/>
        <v>0</v>
      </c>
      <c r="BI74" s="141">
        <f t="shared" si="34"/>
        <v>0</v>
      </c>
      <c r="BJ74" s="147">
        <f t="shared" si="35"/>
        <v>0</v>
      </c>
      <c r="BK74" s="141">
        <f t="shared" si="36"/>
        <v>0</v>
      </c>
      <c r="BL74" s="141">
        <f t="shared" si="37"/>
        <v>0</v>
      </c>
      <c r="BM74" s="141">
        <f t="shared" si="38"/>
        <v>0</v>
      </c>
      <c r="BN74" s="141">
        <f t="shared" si="39"/>
        <v>0</v>
      </c>
      <c r="BO74" s="141">
        <f t="shared" si="40"/>
        <v>0</v>
      </c>
      <c r="BP74" s="141">
        <f t="shared" si="41"/>
        <v>0</v>
      </c>
      <c r="BS74" s="153"/>
      <c r="BT74" s="154" t="e">
        <f>#REF!</f>
        <v>#REF!</v>
      </c>
      <c r="BU74" s="155" t="e">
        <f>#REF!</f>
        <v>#REF!</v>
      </c>
      <c r="BV74" s="156" t="e">
        <f t="shared" si="62"/>
        <v>#REF!</v>
      </c>
      <c r="BW74" s="157" t="e">
        <f>#REF!</f>
        <v>#REF!</v>
      </c>
      <c r="BX74" s="158" t="e">
        <f>#REF!</f>
        <v>#REF!</v>
      </c>
      <c r="BY74" s="157" t="e">
        <f>#REF!</f>
        <v>#REF!</v>
      </c>
      <c r="BZ74" s="158" t="e">
        <f>#REF!</f>
        <v>#REF!</v>
      </c>
      <c r="CA74" s="158" t="e">
        <f>#REF!</f>
        <v>#REF!</v>
      </c>
      <c r="CB74" s="158" t="e">
        <f>#REF!</f>
        <v>#REF!</v>
      </c>
      <c r="CC74" s="158" t="e">
        <f>#REF!</f>
        <v>#REF!</v>
      </c>
      <c r="CF74" s="151" t="s">
        <v>194</v>
      </c>
      <c r="CG74" s="151" t="s">
        <v>195</v>
      </c>
      <c r="CH74" s="151" t="s">
        <v>71</v>
      </c>
      <c r="CI74" s="151" t="s">
        <v>196</v>
      </c>
      <c r="CJ74" s="151" t="s">
        <v>197</v>
      </c>
      <c r="CK74" s="151" t="s">
        <v>147</v>
      </c>
    </row>
    <row r="75" spans="2:89" s="108" customFormat="1" hidden="1">
      <c r="B75" s="109"/>
      <c r="C75" s="141" t="e">
        <f t="shared" si="60"/>
        <v>#NUM!</v>
      </c>
      <c r="D75" s="141">
        <f t="shared" si="2"/>
        <v>0</v>
      </c>
      <c r="E75" s="141" t="str">
        <f>IFERROR(DGET($BV$30:$CC$82,F75,G74:G75),"")</f>
        <v/>
      </c>
      <c r="F75" s="142">
        <f t="shared" si="42"/>
        <v>0</v>
      </c>
      <c r="G75" s="142" t="b">
        <f>IF(Q75&gt;0,IF(AND(S75&gt;0,S75&lt;2),CONCATENATE(Q75," ","0-2"),IF(AND(S75&gt;=2,S75&lt;8),CONCATENATE(Q75," ","2-8"),)))</f>
        <v>0</v>
      </c>
      <c r="H75" s="80">
        <f t="shared" si="3"/>
        <v>0</v>
      </c>
      <c r="I75" s="80" t="str">
        <f t="shared" si="4"/>
        <v/>
      </c>
      <c r="J75" s="76"/>
      <c r="K75" s="76"/>
      <c r="L75" s="76"/>
      <c r="M75" s="80"/>
      <c r="N75" s="79"/>
      <c r="O75" s="148"/>
      <c r="P75" s="77">
        <f t="shared" si="5"/>
        <v>0</v>
      </c>
      <c r="Q75" s="81"/>
      <c r="R75" s="77"/>
      <c r="S75" s="146">
        <f t="shared" si="61"/>
        <v>0</v>
      </c>
      <c r="T75" s="141" t="b">
        <f t="shared" si="43"/>
        <v>0</v>
      </c>
      <c r="U75" s="649">
        <f t="shared" si="7"/>
        <v>0</v>
      </c>
      <c r="V75" s="650"/>
      <c r="W75" s="649">
        <f t="shared" si="8"/>
        <v>0</v>
      </c>
      <c r="X75" s="650"/>
      <c r="Y75" s="649">
        <f t="shared" si="9"/>
        <v>0</v>
      </c>
      <c r="Z75" s="650"/>
      <c r="AA75" s="649">
        <f t="shared" si="10"/>
        <v>0</v>
      </c>
      <c r="AB75" s="650"/>
      <c r="AC75" s="649">
        <f t="shared" si="11"/>
        <v>0</v>
      </c>
      <c r="AD75" s="650"/>
      <c r="AE75" s="649">
        <f t="shared" si="12"/>
        <v>0</v>
      </c>
      <c r="AF75" s="650"/>
      <c r="AG75" s="649">
        <f t="shared" si="13"/>
        <v>0</v>
      </c>
      <c r="AH75" s="650"/>
      <c r="AI75" s="649">
        <f t="shared" si="14"/>
        <v>0</v>
      </c>
      <c r="AJ75" s="650"/>
      <c r="AK75" s="649">
        <f t="shared" si="15"/>
        <v>0</v>
      </c>
      <c r="AL75" s="650"/>
      <c r="AM75" s="649">
        <f t="shared" si="16"/>
        <v>0</v>
      </c>
      <c r="AN75" s="650"/>
      <c r="AO75" s="649">
        <f t="shared" si="17"/>
        <v>0</v>
      </c>
      <c r="AP75" s="650"/>
      <c r="AQ75" s="649">
        <f t="shared" si="18"/>
        <v>0</v>
      </c>
      <c r="AR75" s="650"/>
      <c r="AS75" s="651">
        <f t="shared" si="19"/>
        <v>0</v>
      </c>
      <c r="AT75" s="652"/>
      <c r="AU75" s="141">
        <f t="shared" si="20"/>
        <v>0</v>
      </c>
      <c r="AV75" s="141">
        <f t="shared" si="21"/>
        <v>0</v>
      </c>
      <c r="AW75" s="141">
        <f t="shared" si="22"/>
        <v>0</v>
      </c>
      <c r="AX75" s="141">
        <f t="shared" si="23"/>
        <v>0</v>
      </c>
      <c r="AY75" s="141">
        <f t="shared" si="24"/>
        <v>0</v>
      </c>
      <c r="AZ75" s="141">
        <f t="shared" si="25"/>
        <v>0</v>
      </c>
      <c r="BA75" s="141">
        <f t="shared" si="26"/>
        <v>0</v>
      </c>
      <c r="BB75" s="141">
        <f t="shared" si="27"/>
        <v>0</v>
      </c>
      <c r="BC75" s="141">
        <f t="shared" si="28"/>
        <v>0</v>
      </c>
      <c r="BD75" s="141">
        <f t="shared" si="29"/>
        <v>0</v>
      </c>
      <c r="BE75" s="141">
        <f t="shared" si="30"/>
        <v>0</v>
      </c>
      <c r="BF75" s="141">
        <f t="shared" si="31"/>
        <v>0</v>
      </c>
      <c r="BG75" s="141">
        <f t="shared" si="32"/>
        <v>0</v>
      </c>
      <c r="BH75" s="141">
        <f t="shared" si="33"/>
        <v>0</v>
      </c>
      <c r="BI75" s="141">
        <f t="shared" si="34"/>
        <v>0</v>
      </c>
      <c r="BJ75" s="147">
        <f t="shared" si="35"/>
        <v>0</v>
      </c>
      <c r="BK75" s="141">
        <f t="shared" si="36"/>
        <v>0</v>
      </c>
      <c r="BL75" s="141">
        <f t="shared" si="37"/>
        <v>0</v>
      </c>
      <c r="BM75" s="141">
        <f t="shared" si="38"/>
        <v>0</v>
      </c>
      <c r="BN75" s="141">
        <f t="shared" si="39"/>
        <v>0</v>
      </c>
      <c r="BO75" s="141">
        <f t="shared" si="40"/>
        <v>0</v>
      </c>
      <c r="BP75" s="141">
        <f t="shared" si="41"/>
        <v>0</v>
      </c>
      <c r="BS75" s="153"/>
      <c r="BT75" s="154" t="e">
        <f>#REF!</f>
        <v>#REF!</v>
      </c>
      <c r="BU75" s="155" t="e">
        <f>#REF!</f>
        <v>#REF!</v>
      </c>
      <c r="BV75" s="156" t="e">
        <f t="shared" si="62"/>
        <v>#REF!</v>
      </c>
      <c r="BW75" s="157" t="e">
        <f>#REF!</f>
        <v>#REF!</v>
      </c>
      <c r="BX75" s="158" t="e">
        <f>#REF!</f>
        <v>#REF!</v>
      </c>
      <c r="BY75" s="157" t="e">
        <f>#REF!</f>
        <v>#REF!</v>
      </c>
      <c r="BZ75" s="158" t="e">
        <f>#REF!</f>
        <v>#REF!</v>
      </c>
      <c r="CA75" s="158" t="e">
        <f>#REF!</f>
        <v>#REF!</v>
      </c>
      <c r="CB75" s="158" t="e">
        <f>#REF!</f>
        <v>#REF!</v>
      </c>
      <c r="CC75" s="158" t="e">
        <f>#REF!</f>
        <v>#REF!</v>
      </c>
      <c r="CF75" s="166" t="e">
        <f t="shared" ref="CF75:CF104" si="63">CONCATENATE(CG75,CH75)</f>
        <v>#REF!</v>
      </c>
      <c r="CG75" s="166" t="s">
        <v>198</v>
      </c>
      <c r="CH75" s="166" t="e">
        <f>#REF!</f>
        <v>#REF!</v>
      </c>
      <c r="CI75" s="167" t="e">
        <f>#REF!</f>
        <v>#REF!</v>
      </c>
      <c r="CJ75" s="166">
        <v>480</v>
      </c>
      <c r="CK75" s="166" t="e">
        <f t="shared" ref="CK75:CK104" si="64">CJ75-CH75</f>
        <v>#REF!</v>
      </c>
    </row>
    <row r="76" spans="2:89" s="108" customFormat="1" hidden="1">
      <c r="B76" s="109"/>
      <c r="C76" s="141" t="e">
        <f t="shared" si="60"/>
        <v>#NUM!</v>
      </c>
      <c r="D76" s="141">
        <f t="shared" si="2"/>
        <v>0</v>
      </c>
      <c r="E76" s="141"/>
      <c r="F76" s="142">
        <f t="shared" si="42"/>
        <v>0</v>
      </c>
      <c r="G76" s="143" t="s">
        <v>146</v>
      </c>
      <c r="H76" s="80">
        <f t="shared" si="3"/>
        <v>0</v>
      </c>
      <c r="I76" s="80" t="str">
        <f t="shared" si="4"/>
        <v/>
      </c>
      <c r="J76" s="144"/>
      <c r="K76" s="144"/>
      <c r="L76" s="144"/>
      <c r="M76" s="76"/>
      <c r="N76" s="77"/>
      <c r="O76" s="145"/>
      <c r="P76" s="77">
        <f t="shared" si="5"/>
        <v>0</v>
      </c>
      <c r="Q76" s="78"/>
      <c r="R76" s="79"/>
      <c r="S76" s="146">
        <f t="shared" si="61"/>
        <v>0</v>
      </c>
      <c r="T76" s="141" t="b">
        <f t="shared" si="43"/>
        <v>0</v>
      </c>
      <c r="U76" s="649">
        <f t="shared" si="7"/>
        <v>0</v>
      </c>
      <c r="V76" s="650"/>
      <c r="W76" s="649">
        <f t="shared" si="8"/>
        <v>0</v>
      </c>
      <c r="X76" s="650"/>
      <c r="Y76" s="649">
        <f t="shared" si="9"/>
        <v>0</v>
      </c>
      <c r="Z76" s="650"/>
      <c r="AA76" s="649">
        <f t="shared" si="10"/>
        <v>0</v>
      </c>
      <c r="AB76" s="650"/>
      <c r="AC76" s="649">
        <f t="shared" si="11"/>
        <v>0</v>
      </c>
      <c r="AD76" s="650"/>
      <c r="AE76" s="649">
        <f t="shared" si="12"/>
        <v>0</v>
      </c>
      <c r="AF76" s="650"/>
      <c r="AG76" s="649">
        <f t="shared" si="13"/>
        <v>0</v>
      </c>
      <c r="AH76" s="650"/>
      <c r="AI76" s="649">
        <f t="shared" si="14"/>
        <v>0</v>
      </c>
      <c r="AJ76" s="650"/>
      <c r="AK76" s="649">
        <f t="shared" si="15"/>
        <v>0</v>
      </c>
      <c r="AL76" s="650"/>
      <c r="AM76" s="649">
        <f t="shared" si="16"/>
        <v>0</v>
      </c>
      <c r="AN76" s="650"/>
      <c r="AO76" s="649">
        <f t="shared" si="17"/>
        <v>0</v>
      </c>
      <c r="AP76" s="650"/>
      <c r="AQ76" s="649">
        <f t="shared" si="18"/>
        <v>0</v>
      </c>
      <c r="AR76" s="650"/>
      <c r="AS76" s="651">
        <f t="shared" si="19"/>
        <v>0</v>
      </c>
      <c r="AT76" s="652"/>
      <c r="AU76" s="141">
        <f t="shared" si="20"/>
        <v>0</v>
      </c>
      <c r="AV76" s="141">
        <f t="shared" si="21"/>
        <v>0</v>
      </c>
      <c r="AW76" s="141">
        <f t="shared" si="22"/>
        <v>0</v>
      </c>
      <c r="AX76" s="141">
        <f t="shared" si="23"/>
        <v>0</v>
      </c>
      <c r="AY76" s="141">
        <f t="shared" si="24"/>
        <v>0</v>
      </c>
      <c r="AZ76" s="141">
        <f t="shared" si="25"/>
        <v>0</v>
      </c>
      <c r="BA76" s="141">
        <f t="shared" si="26"/>
        <v>0</v>
      </c>
      <c r="BB76" s="141">
        <f t="shared" si="27"/>
        <v>0</v>
      </c>
      <c r="BC76" s="141">
        <f t="shared" si="28"/>
        <v>0</v>
      </c>
      <c r="BD76" s="141">
        <f t="shared" si="29"/>
        <v>0</v>
      </c>
      <c r="BE76" s="141">
        <f t="shared" si="30"/>
        <v>0</v>
      </c>
      <c r="BF76" s="141">
        <f t="shared" si="31"/>
        <v>0</v>
      </c>
      <c r="BG76" s="141">
        <f t="shared" si="32"/>
        <v>0</v>
      </c>
      <c r="BH76" s="141">
        <f t="shared" si="33"/>
        <v>0</v>
      </c>
      <c r="BI76" s="141">
        <f t="shared" si="34"/>
        <v>0</v>
      </c>
      <c r="BJ76" s="147">
        <f t="shared" si="35"/>
        <v>0</v>
      </c>
      <c r="BK76" s="141">
        <f t="shared" si="36"/>
        <v>0</v>
      </c>
      <c r="BL76" s="141">
        <f t="shared" si="37"/>
        <v>0</v>
      </c>
      <c r="BM76" s="141">
        <f t="shared" si="38"/>
        <v>0</v>
      </c>
      <c r="BN76" s="141">
        <f t="shared" si="39"/>
        <v>0</v>
      </c>
      <c r="BO76" s="141">
        <f t="shared" si="40"/>
        <v>0</v>
      </c>
      <c r="BP76" s="141">
        <f t="shared" si="41"/>
        <v>0</v>
      </c>
      <c r="BS76" s="153"/>
      <c r="BT76" s="154" t="e">
        <f>#REF!</f>
        <v>#REF!</v>
      </c>
      <c r="BU76" s="155" t="e">
        <f>#REF!</f>
        <v>#REF!</v>
      </c>
      <c r="BV76" s="156" t="e">
        <f t="shared" si="62"/>
        <v>#REF!</v>
      </c>
      <c r="BW76" s="157" t="e">
        <f>#REF!</f>
        <v>#REF!</v>
      </c>
      <c r="BX76" s="158" t="e">
        <f>#REF!</f>
        <v>#REF!</v>
      </c>
      <c r="BY76" s="157" t="e">
        <f>#REF!</f>
        <v>#REF!</v>
      </c>
      <c r="BZ76" s="158" t="e">
        <f>#REF!</f>
        <v>#REF!</v>
      </c>
      <c r="CA76" s="158" t="e">
        <f>#REF!</f>
        <v>#REF!</v>
      </c>
      <c r="CB76" s="158" t="e">
        <f>#REF!</f>
        <v>#REF!</v>
      </c>
      <c r="CC76" s="158" t="e">
        <f>#REF!</f>
        <v>#REF!</v>
      </c>
      <c r="CF76" s="166" t="e">
        <f t="shared" si="63"/>
        <v>#REF!</v>
      </c>
      <c r="CG76" s="166" t="s">
        <v>198</v>
      </c>
      <c r="CH76" s="166" t="e">
        <f>#REF!</f>
        <v>#REF!</v>
      </c>
      <c r="CI76" s="167" t="e">
        <f>#REF!</f>
        <v>#REF!</v>
      </c>
      <c r="CJ76" s="166">
        <v>600</v>
      </c>
      <c r="CK76" s="166" t="e">
        <f t="shared" si="64"/>
        <v>#REF!</v>
      </c>
    </row>
    <row r="77" spans="2:89" s="108" customFormat="1" hidden="1">
      <c r="B77" s="109"/>
      <c r="C77" s="141" t="e">
        <f t="shared" si="60"/>
        <v>#NUM!</v>
      </c>
      <c r="D77" s="141">
        <f t="shared" si="2"/>
        <v>0</v>
      </c>
      <c r="E77" s="141" t="str">
        <f>IFERROR(DGET($BV$30:$CC$82,F77,G76:G77),"")</f>
        <v/>
      </c>
      <c r="F77" s="142">
        <f t="shared" si="42"/>
        <v>0</v>
      </c>
      <c r="G77" s="142" t="b">
        <f>IF(Q77&gt;0,IF(AND(S77&gt;0,S77&lt;2),CONCATENATE(Q77," ","0-2"),IF(AND(S77&gt;=2,S77&lt;8),CONCATENATE(Q77," ","2-8"),)))</f>
        <v>0</v>
      </c>
      <c r="H77" s="80">
        <f t="shared" si="3"/>
        <v>0</v>
      </c>
      <c r="I77" s="80" t="str">
        <f t="shared" si="4"/>
        <v/>
      </c>
      <c r="J77" s="76"/>
      <c r="K77" s="76"/>
      <c r="L77" s="76"/>
      <c r="M77" s="80"/>
      <c r="N77" s="79"/>
      <c r="O77" s="148"/>
      <c r="P77" s="77">
        <f t="shared" si="5"/>
        <v>0</v>
      </c>
      <c r="Q77" s="81"/>
      <c r="R77" s="77"/>
      <c r="S77" s="146">
        <f t="shared" si="61"/>
        <v>0</v>
      </c>
      <c r="T77" s="141" t="b">
        <f t="shared" si="43"/>
        <v>0</v>
      </c>
      <c r="U77" s="649">
        <f t="shared" si="7"/>
        <v>0</v>
      </c>
      <c r="V77" s="650"/>
      <c r="W77" s="649">
        <f t="shared" si="8"/>
        <v>0</v>
      </c>
      <c r="X77" s="650"/>
      <c r="Y77" s="649">
        <f t="shared" si="9"/>
        <v>0</v>
      </c>
      <c r="Z77" s="650"/>
      <c r="AA77" s="649">
        <f t="shared" si="10"/>
        <v>0</v>
      </c>
      <c r="AB77" s="650"/>
      <c r="AC77" s="649">
        <f t="shared" si="11"/>
        <v>0</v>
      </c>
      <c r="AD77" s="650"/>
      <c r="AE77" s="649">
        <f t="shared" si="12"/>
        <v>0</v>
      </c>
      <c r="AF77" s="650"/>
      <c r="AG77" s="649">
        <f t="shared" si="13"/>
        <v>0</v>
      </c>
      <c r="AH77" s="650"/>
      <c r="AI77" s="649">
        <f t="shared" si="14"/>
        <v>0</v>
      </c>
      <c r="AJ77" s="650"/>
      <c r="AK77" s="649">
        <f t="shared" si="15"/>
        <v>0</v>
      </c>
      <c r="AL77" s="650"/>
      <c r="AM77" s="649">
        <f t="shared" si="16"/>
        <v>0</v>
      </c>
      <c r="AN77" s="650"/>
      <c r="AO77" s="649">
        <f t="shared" si="17"/>
        <v>0</v>
      </c>
      <c r="AP77" s="650"/>
      <c r="AQ77" s="649">
        <f t="shared" si="18"/>
        <v>0</v>
      </c>
      <c r="AR77" s="650"/>
      <c r="AS77" s="651">
        <f t="shared" si="19"/>
        <v>0</v>
      </c>
      <c r="AT77" s="652"/>
      <c r="AU77" s="141">
        <f t="shared" si="20"/>
        <v>0</v>
      </c>
      <c r="AV77" s="141">
        <f t="shared" si="21"/>
        <v>0</v>
      </c>
      <c r="AW77" s="141">
        <f t="shared" si="22"/>
        <v>0</v>
      </c>
      <c r="AX77" s="141">
        <f t="shared" si="23"/>
        <v>0</v>
      </c>
      <c r="AY77" s="141">
        <f t="shared" si="24"/>
        <v>0</v>
      </c>
      <c r="AZ77" s="141">
        <f t="shared" si="25"/>
        <v>0</v>
      </c>
      <c r="BA77" s="141">
        <f t="shared" si="26"/>
        <v>0</v>
      </c>
      <c r="BB77" s="141">
        <f t="shared" si="27"/>
        <v>0</v>
      </c>
      <c r="BC77" s="141">
        <f t="shared" si="28"/>
        <v>0</v>
      </c>
      <c r="BD77" s="141">
        <f t="shared" si="29"/>
        <v>0</v>
      </c>
      <c r="BE77" s="141">
        <f t="shared" si="30"/>
        <v>0</v>
      </c>
      <c r="BF77" s="141">
        <f t="shared" si="31"/>
        <v>0</v>
      </c>
      <c r="BG77" s="141">
        <f t="shared" si="32"/>
        <v>0</v>
      </c>
      <c r="BH77" s="141">
        <f t="shared" si="33"/>
        <v>0</v>
      </c>
      <c r="BI77" s="141">
        <f t="shared" si="34"/>
        <v>0</v>
      </c>
      <c r="BJ77" s="147">
        <f t="shared" si="35"/>
        <v>0</v>
      </c>
      <c r="BK77" s="141">
        <f t="shared" si="36"/>
        <v>0</v>
      </c>
      <c r="BL77" s="141">
        <f t="shared" si="37"/>
        <v>0</v>
      </c>
      <c r="BM77" s="141">
        <f t="shared" si="38"/>
        <v>0</v>
      </c>
      <c r="BN77" s="141">
        <f t="shared" si="39"/>
        <v>0</v>
      </c>
      <c r="BO77" s="141">
        <f t="shared" si="40"/>
        <v>0</v>
      </c>
      <c r="BP77" s="141">
        <f t="shared" si="41"/>
        <v>0</v>
      </c>
      <c r="BS77" s="153"/>
      <c r="BT77" s="154" t="e">
        <f>#REF!</f>
        <v>#REF!</v>
      </c>
      <c r="BU77" s="155" t="e">
        <f>#REF!</f>
        <v>#REF!</v>
      </c>
      <c r="BV77" s="156" t="e">
        <f t="shared" si="62"/>
        <v>#REF!</v>
      </c>
      <c r="BW77" s="157" t="e">
        <f>#REF!</f>
        <v>#REF!</v>
      </c>
      <c r="BX77" s="158" t="e">
        <f>#REF!</f>
        <v>#REF!</v>
      </c>
      <c r="BY77" s="157" t="e">
        <f>#REF!</f>
        <v>#REF!</v>
      </c>
      <c r="BZ77" s="158" t="e">
        <f>#REF!</f>
        <v>#REF!</v>
      </c>
      <c r="CA77" s="158" t="e">
        <f>#REF!</f>
        <v>#REF!</v>
      </c>
      <c r="CB77" s="158" t="e">
        <f>#REF!</f>
        <v>#REF!</v>
      </c>
      <c r="CC77" s="158" t="e">
        <f>#REF!</f>
        <v>#REF!</v>
      </c>
      <c r="CF77" s="166" t="e">
        <f t="shared" si="63"/>
        <v>#REF!</v>
      </c>
      <c r="CG77" s="166" t="s">
        <v>198</v>
      </c>
      <c r="CH77" s="166" t="e">
        <f>#REF!</f>
        <v>#REF!</v>
      </c>
      <c r="CI77" s="167" t="e">
        <f>#REF!</f>
        <v>#REF!</v>
      </c>
      <c r="CJ77" s="166">
        <v>720</v>
      </c>
      <c r="CK77" s="166" t="e">
        <f t="shared" si="64"/>
        <v>#REF!</v>
      </c>
    </row>
    <row r="78" spans="2:89" s="108" customFormat="1" hidden="1">
      <c r="B78" s="109"/>
      <c r="C78" s="141" t="e">
        <f t="shared" si="60"/>
        <v>#NUM!</v>
      </c>
      <c r="D78" s="141">
        <f t="shared" si="2"/>
        <v>0</v>
      </c>
      <c r="E78" s="141"/>
      <c r="F78" s="142">
        <f t="shared" si="42"/>
        <v>0</v>
      </c>
      <c r="G78" s="143" t="s">
        <v>146</v>
      </c>
      <c r="H78" s="80">
        <f t="shared" si="3"/>
        <v>0</v>
      </c>
      <c r="I78" s="80" t="str">
        <f t="shared" si="4"/>
        <v/>
      </c>
      <c r="J78" s="144"/>
      <c r="K78" s="210"/>
      <c r="L78" s="144"/>
      <c r="M78" s="76"/>
      <c r="N78" s="77"/>
      <c r="O78" s="145"/>
      <c r="P78" s="77">
        <f t="shared" si="5"/>
        <v>0</v>
      </c>
      <c r="Q78" s="78"/>
      <c r="R78" s="79"/>
      <c r="S78" s="146">
        <f t="shared" si="61"/>
        <v>0</v>
      </c>
      <c r="T78" s="141" t="b">
        <f t="shared" si="43"/>
        <v>0</v>
      </c>
      <c r="U78" s="649">
        <f t="shared" si="7"/>
        <v>0</v>
      </c>
      <c r="V78" s="650"/>
      <c r="W78" s="649">
        <f t="shared" si="8"/>
        <v>0</v>
      </c>
      <c r="X78" s="650"/>
      <c r="Y78" s="649">
        <f t="shared" si="9"/>
        <v>0</v>
      </c>
      <c r="Z78" s="650"/>
      <c r="AA78" s="649">
        <f t="shared" si="10"/>
        <v>0</v>
      </c>
      <c r="AB78" s="650"/>
      <c r="AC78" s="649">
        <f t="shared" si="11"/>
        <v>0</v>
      </c>
      <c r="AD78" s="650"/>
      <c r="AE78" s="649">
        <f t="shared" si="12"/>
        <v>0</v>
      </c>
      <c r="AF78" s="650"/>
      <c r="AG78" s="649">
        <f t="shared" si="13"/>
        <v>0</v>
      </c>
      <c r="AH78" s="650"/>
      <c r="AI78" s="649">
        <f t="shared" si="14"/>
        <v>0</v>
      </c>
      <c r="AJ78" s="650"/>
      <c r="AK78" s="649">
        <f t="shared" si="15"/>
        <v>0</v>
      </c>
      <c r="AL78" s="650"/>
      <c r="AM78" s="649">
        <f t="shared" si="16"/>
        <v>0</v>
      </c>
      <c r="AN78" s="650"/>
      <c r="AO78" s="649">
        <f t="shared" si="17"/>
        <v>0</v>
      </c>
      <c r="AP78" s="650"/>
      <c r="AQ78" s="649">
        <f t="shared" si="18"/>
        <v>0</v>
      </c>
      <c r="AR78" s="650"/>
      <c r="AS78" s="651">
        <f t="shared" si="19"/>
        <v>0</v>
      </c>
      <c r="AT78" s="652"/>
      <c r="AU78" s="141">
        <f t="shared" si="20"/>
        <v>0</v>
      </c>
      <c r="AV78" s="141">
        <f t="shared" si="21"/>
        <v>0</v>
      </c>
      <c r="AW78" s="141">
        <f t="shared" si="22"/>
        <v>0</v>
      </c>
      <c r="AX78" s="141">
        <f t="shared" si="23"/>
        <v>0</v>
      </c>
      <c r="AY78" s="141">
        <f t="shared" si="24"/>
        <v>0</v>
      </c>
      <c r="AZ78" s="141">
        <f t="shared" si="25"/>
        <v>0</v>
      </c>
      <c r="BA78" s="141">
        <f t="shared" si="26"/>
        <v>0</v>
      </c>
      <c r="BB78" s="141">
        <f t="shared" si="27"/>
        <v>0</v>
      </c>
      <c r="BC78" s="141">
        <f t="shared" si="28"/>
        <v>0</v>
      </c>
      <c r="BD78" s="141">
        <f t="shared" si="29"/>
        <v>0</v>
      </c>
      <c r="BE78" s="141">
        <f t="shared" si="30"/>
        <v>0</v>
      </c>
      <c r="BF78" s="141">
        <f t="shared" si="31"/>
        <v>0</v>
      </c>
      <c r="BG78" s="141">
        <f t="shared" si="32"/>
        <v>0</v>
      </c>
      <c r="BH78" s="141">
        <f t="shared" si="33"/>
        <v>0</v>
      </c>
      <c r="BI78" s="141">
        <f t="shared" si="34"/>
        <v>0</v>
      </c>
      <c r="BJ78" s="147">
        <f t="shared" si="35"/>
        <v>0</v>
      </c>
      <c r="BK78" s="141">
        <f t="shared" si="36"/>
        <v>0</v>
      </c>
      <c r="BL78" s="141">
        <f t="shared" si="37"/>
        <v>0</v>
      </c>
      <c r="BM78" s="141">
        <f t="shared" si="38"/>
        <v>0</v>
      </c>
      <c r="BN78" s="141">
        <f t="shared" si="39"/>
        <v>0</v>
      </c>
      <c r="BO78" s="141">
        <f t="shared" si="40"/>
        <v>0</v>
      </c>
      <c r="BP78" s="141">
        <f t="shared" si="41"/>
        <v>0</v>
      </c>
      <c r="BS78" s="153"/>
      <c r="BT78" s="154" t="e">
        <f>#REF!</f>
        <v>#REF!</v>
      </c>
      <c r="BU78" s="155" t="e">
        <f>#REF!</f>
        <v>#REF!</v>
      </c>
      <c r="BV78" s="156" t="e">
        <f t="shared" si="62"/>
        <v>#REF!</v>
      </c>
      <c r="BW78" s="157" t="e">
        <f>#REF!</f>
        <v>#REF!</v>
      </c>
      <c r="BX78" s="158" t="e">
        <f>#REF!</f>
        <v>#REF!</v>
      </c>
      <c r="BY78" s="157" t="e">
        <f>#REF!</f>
        <v>#REF!</v>
      </c>
      <c r="BZ78" s="158" t="e">
        <f>#REF!</f>
        <v>#REF!</v>
      </c>
      <c r="CA78" s="158" t="e">
        <f>#REF!</f>
        <v>#REF!</v>
      </c>
      <c r="CB78" s="158" t="e">
        <f>#REF!</f>
        <v>#REF!</v>
      </c>
      <c r="CC78" s="158" t="e">
        <f>#REF!</f>
        <v>#REF!</v>
      </c>
      <c r="CF78" s="166" t="e">
        <f t="shared" si="63"/>
        <v>#REF!</v>
      </c>
      <c r="CG78" s="166" t="s">
        <v>198</v>
      </c>
      <c r="CH78" s="166" t="e">
        <f>#REF!</f>
        <v>#REF!</v>
      </c>
      <c r="CI78" s="167" t="e">
        <f>#REF!</f>
        <v>#REF!</v>
      </c>
      <c r="CJ78" s="166">
        <v>840</v>
      </c>
      <c r="CK78" s="166" t="e">
        <f t="shared" si="64"/>
        <v>#REF!</v>
      </c>
    </row>
    <row r="79" spans="2:89" s="108" customFormat="1" hidden="1">
      <c r="B79" s="109"/>
      <c r="C79" s="141" t="e">
        <f t="shared" si="60"/>
        <v>#NUM!</v>
      </c>
      <c r="D79" s="141">
        <f t="shared" si="2"/>
        <v>0</v>
      </c>
      <c r="E79" s="141" t="str">
        <f>IFERROR(DGET($BV$30:$CC$82,F79,G78:G79),"")</f>
        <v/>
      </c>
      <c r="F79" s="142">
        <f t="shared" si="42"/>
        <v>0</v>
      </c>
      <c r="G79" s="142" t="b">
        <f>IF(Q79&gt;0,IF(AND(S79&gt;0,S79&lt;2),CONCATENATE(Q79," ","0-2"),IF(AND(S79&gt;=2,S79&lt;8),CONCATENATE(Q79," ","2-8"),)))</f>
        <v>0</v>
      </c>
      <c r="H79" s="80">
        <f t="shared" si="3"/>
        <v>0</v>
      </c>
      <c r="I79" s="80" t="str">
        <f t="shared" si="4"/>
        <v/>
      </c>
      <c r="J79" s="76"/>
      <c r="K79" s="76"/>
      <c r="L79" s="76"/>
      <c r="M79" s="80"/>
      <c r="N79" s="79"/>
      <c r="O79" s="148"/>
      <c r="P79" s="77">
        <f t="shared" si="5"/>
        <v>0</v>
      </c>
      <c r="Q79" s="81"/>
      <c r="R79" s="77"/>
      <c r="S79" s="146">
        <f t="shared" si="61"/>
        <v>0</v>
      </c>
      <c r="T79" s="141" t="b">
        <f t="shared" si="43"/>
        <v>0</v>
      </c>
      <c r="U79" s="649">
        <f t="shared" si="7"/>
        <v>0</v>
      </c>
      <c r="V79" s="650"/>
      <c r="W79" s="649">
        <f t="shared" si="8"/>
        <v>0</v>
      </c>
      <c r="X79" s="650"/>
      <c r="Y79" s="649">
        <f t="shared" si="9"/>
        <v>0</v>
      </c>
      <c r="Z79" s="650"/>
      <c r="AA79" s="649">
        <f t="shared" si="10"/>
        <v>0</v>
      </c>
      <c r="AB79" s="650"/>
      <c r="AC79" s="649">
        <f t="shared" si="11"/>
        <v>0</v>
      </c>
      <c r="AD79" s="650"/>
      <c r="AE79" s="649">
        <f t="shared" si="12"/>
        <v>0</v>
      </c>
      <c r="AF79" s="650"/>
      <c r="AG79" s="649">
        <f t="shared" si="13"/>
        <v>0</v>
      </c>
      <c r="AH79" s="650"/>
      <c r="AI79" s="649">
        <f t="shared" si="14"/>
        <v>0</v>
      </c>
      <c r="AJ79" s="650"/>
      <c r="AK79" s="649">
        <f t="shared" si="15"/>
        <v>0</v>
      </c>
      <c r="AL79" s="650"/>
      <c r="AM79" s="649">
        <f t="shared" si="16"/>
        <v>0</v>
      </c>
      <c r="AN79" s="650"/>
      <c r="AO79" s="649">
        <f t="shared" si="17"/>
        <v>0</v>
      </c>
      <c r="AP79" s="650"/>
      <c r="AQ79" s="649">
        <f t="shared" si="18"/>
        <v>0</v>
      </c>
      <c r="AR79" s="650"/>
      <c r="AS79" s="651">
        <f t="shared" si="19"/>
        <v>0</v>
      </c>
      <c r="AT79" s="652"/>
      <c r="AU79" s="141">
        <f t="shared" si="20"/>
        <v>0</v>
      </c>
      <c r="AV79" s="141">
        <f t="shared" si="21"/>
        <v>0</v>
      </c>
      <c r="AW79" s="141">
        <f t="shared" si="22"/>
        <v>0</v>
      </c>
      <c r="AX79" s="141">
        <f t="shared" si="23"/>
        <v>0</v>
      </c>
      <c r="AY79" s="141">
        <f t="shared" si="24"/>
        <v>0</v>
      </c>
      <c r="AZ79" s="141">
        <f t="shared" si="25"/>
        <v>0</v>
      </c>
      <c r="BA79" s="141">
        <f t="shared" si="26"/>
        <v>0</v>
      </c>
      <c r="BB79" s="141">
        <f t="shared" si="27"/>
        <v>0</v>
      </c>
      <c r="BC79" s="141">
        <f t="shared" si="28"/>
        <v>0</v>
      </c>
      <c r="BD79" s="141">
        <f t="shared" si="29"/>
        <v>0</v>
      </c>
      <c r="BE79" s="141">
        <f t="shared" si="30"/>
        <v>0</v>
      </c>
      <c r="BF79" s="141">
        <f t="shared" si="31"/>
        <v>0</v>
      </c>
      <c r="BG79" s="141">
        <f t="shared" si="32"/>
        <v>0</v>
      </c>
      <c r="BH79" s="141">
        <f t="shared" si="33"/>
        <v>0</v>
      </c>
      <c r="BI79" s="141">
        <f t="shared" si="34"/>
        <v>0</v>
      </c>
      <c r="BJ79" s="147">
        <f t="shared" si="35"/>
        <v>0</v>
      </c>
      <c r="BK79" s="141">
        <f t="shared" si="36"/>
        <v>0</v>
      </c>
      <c r="BL79" s="141">
        <f t="shared" si="37"/>
        <v>0</v>
      </c>
      <c r="BM79" s="141">
        <f t="shared" si="38"/>
        <v>0</v>
      </c>
      <c r="BN79" s="141">
        <f t="shared" si="39"/>
        <v>0</v>
      </c>
      <c r="BO79" s="141">
        <f t="shared" si="40"/>
        <v>0</v>
      </c>
      <c r="BP79" s="141">
        <f t="shared" si="41"/>
        <v>0</v>
      </c>
      <c r="BS79" s="153"/>
      <c r="BT79" s="154" t="e">
        <f>#REF!</f>
        <v>#REF!</v>
      </c>
      <c r="BU79" s="155" t="e">
        <f>#REF!</f>
        <v>#REF!</v>
      </c>
      <c r="BV79" s="156" t="e">
        <f t="shared" si="62"/>
        <v>#REF!</v>
      </c>
      <c r="BW79" s="157" t="e">
        <f>#REF!</f>
        <v>#REF!</v>
      </c>
      <c r="BX79" s="158" t="e">
        <f>#REF!</f>
        <v>#REF!</v>
      </c>
      <c r="BY79" s="157" t="e">
        <f>#REF!</f>
        <v>#REF!</v>
      </c>
      <c r="BZ79" s="158" t="e">
        <f>#REF!</f>
        <v>#REF!</v>
      </c>
      <c r="CA79" s="158" t="e">
        <f>#REF!</f>
        <v>#REF!</v>
      </c>
      <c r="CB79" s="158" t="e">
        <f>#REF!</f>
        <v>#REF!</v>
      </c>
      <c r="CC79" s="158" t="e">
        <f>#REF!</f>
        <v>#REF!</v>
      </c>
      <c r="CF79" s="166" t="e">
        <f t="shared" si="63"/>
        <v>#REF!</v>
      </c>
      <c r="CG79" s="166" t="s">
        <v>198</v>
      </c>
      <c r="CH79" s="166" t="e">
        <f>#REF!</f>
        <v>#REF!</v>
      </c>
      <c r="CI79" s="167" t="e">
        <f>#REF!</f>
        <v>#REF!</v>
      </c>
      <c r="CJ79" s="166">
        <v>960</v>
      </c>
      <c r="CK79" s="166" t="e">
        <f t="shared" si="64"/>
        <v>#REF!</v>
      </c>
    </row>
    <row r="80" spans="2:89" s="108" customFormat="1" hidden="1">
      <c r="B80" s="109"/>
      <c r="C80" s="141" t="e">
        <f t="shared" si="60"/>
        <v>#NUM!</v>
      </c>
      <c r="D80" s="141">
        <f t="shared" si="2"/>
        <v>0</v>
      </c>
      <c r="E80" s="141"/>
      <c r="F80" s="142">
        <f t="shared" si="42"/>
        <v>0</v>
      </c>
      <c r="G80" s="143" t="s">
        <v>146</v>
      </c>
      <c r="H80" s="80">
        <f t="shared" si="3"/>
        <v>0</v>
      </c>
      <c r="I80" s="80" t="str">
        <f t="shared" si="4"/>
        <v/>
      </c>
      <c r="J80" s="144"/>
      <c r="K80" s="144"/>
      <c r="L80" s="144"/>
      <c r="M80" s="76"/>
      <c r="N80" s="77"/>
      <c r="O80" s="145"/>
      <c r="P80" s="77">
        <f t="shared" si="5"/>
        <v>0</v>
      </c>
      <c r="Q80" s="78"/>
      <c r="R80" s="79"/>
      <c r="S80" s="146">
        <f t="shared" si="61"/>
        <v>0</v>
      </c>
      <c r="T80" s="141" t="b">
        <f t="shared" si="43"/>
        <v>0</v>
      </c>
      <c r="U80" s="649">
        <f t="shared" si="7"/>
        <v>0</v>
      </c>
      <c r="V80" s="650"/>
      <c r="W80" s="649">
        <f t="shared" si="8"/>
        <v>0</v>
      </c>
      <c r="X80" s="650"/>
      <c r="Y80" s="649">
        <f t="shared" si="9"/>
        <v>0</v>
      </c>
      <c r="Z80" s="650"/>
      <c r="AA80" s="649">
        <f t="shared" si="10"/>
        <v>0</v>
      </c>
      <c r="AB80" s="650"/>
      <c r="AC80" s="649">
        <f t="shared" si="11"/>
        <v>0</v>
      </c>
      <c r="AD80" s="650"/>
      <c r="AE80" s="649">
        <f t="shared" si="12"/>
        <v>0</v>
      </c>
      <c r="AF80" s="650"/>
      <c r="AG80" s="649">
        <f t="shared" si="13"/>
        <v>0</v>
      </c>
      <c r="AH80" s="650"/>
      <c r="AI80" s="649">
        <f t="shared" si="14"/>
        <v>0</v>
      </c>
      <c r="AJ80" s="650"/>
      <c r="AK80" s="649">
        <f t="shared" si="15"/>
        <v>0</v>
      </c>
      <c r="AL80" s="650"/>
      <c r="AM80" s="649">
        <f t="shared" si="16"/>
        <v>0</v>
      </c>
      <c r="AN80" s="650"/>
      <c r="AO80" s="649">
        <f t="shared" si="17"/>
        <v>0</v>
      </c>
      <c r="AP80" s="650"/>
      <c r="AQ80" s="649">
        <f t="shared" si="18"/>
        <v>0</v>
      </c>
      <c r="AR80" s="650"/>
      <c r="AS80" s="651">
        <f t="shared" si="19"/>
        <v>0</v>
      </c>
      <c r="AT80" s="652"/>
      <c r="AU80" s="141">
        <f t="shared" si="20"/>
        <v>0</v>
      </c>
      <c r="AV80" s="141">
        <f t="shared" si="21"/>
        <v>0</v>
      </c>
      <c r="AW80" s="141">
        <f t="shared" si="22"/>
        <v>0</v>
      </c>
      <c r="AX80" s="141">
        <f t="shared" si="23"/>
        <v>0</v>
      </c>
      <c r="AY80" s="141">
        <f t="shared" si="24"/>
        <v>0</v>
      </c>
      <c r="AZ80" s="141">
        <f t="shared" si="25"/>
        <v>0</v>
      </c>
      <c r="BA80" s="141">
        <f t="shared" si="26"/>
        <v>0</v>
      </c>
      <c r="BB80" s="141">
        <f t="shared" si="27"/>
        <v>0</v>
      </c>
      <c r="BC80" s="141">
        <f t="shared" si="28"/>
        <v>0</v>
      </c>
      <c r="BD80" s="141">
        <f t="shared" si="29"/>
        <v>0</v>
      </c>
      <c r="BE80" s="141">
        <f t="shared" si="30"/>
        <v>0</v>
      </c>
      <c r="BF80" s="141">
        <f t="shared" si="31"/>
        <v>0</v>
      </c>
      <c r="BG80" s="141">
        <f t="shared" si="32"/>
        <v>0</v>
      </c>
      <c r="BH80" s="141">
        <f t="shared" si="33"/>
        <v>0</v>
      </c>
      <c r="BI80" s="141">
        <f t="shared" si="34"/>
        <v>0</v>
      </c>
      <c r="BJ80" s="147">
        <f t="shared" si="35"/>
        <v>0</v>
      </c>
      <c r="BK80" s="141">
        <f t="shared" si="36"/>
        <v>0</v>
      </c>
      <c r="BL80" s="141">
        <f t="shared" si="37"/>
        <v>0</v>
      </c>
      <c r="BM80" s="141">
        <f t="shared" si="38"/>
        <v>0</v>
      </c>
      <c r="BN80" s="141">
        <f t="shared" si="39"/>
        <v>0</v>
      </c>
      <c r="BO80" s="141">
        <f t="shared" si="40"/>
        <v>0</v>
      </c>
      <c r="BP80" s="141">
        <f t="shared" si="41"/>
        <v>0</v>
      </c>
      <c r="BS80" s="153"/>
      <c r="BT80" s="154" t="e">
        <f>#REF!</f>
        <v>#REF!</v>
      </c>
      <c r="BU80" s="155" t="e">
        <f>#REF!</f>
        <v>#REF!</v>
      </c>
      <c r="BV80" s="156" t="e">
        <f t="shared" si="62"/>
        <v>#REF!</v>
      </c>
      <c r="BW80" s="157" t="e">
        <f>#REF!</f>
        <v>#REF!</v>
      </c>
      <c r="BX80" s="158" t="e">
        <f>#REF!</f>
        <v>#REF!</v>
      </c>
      <c r="BY80" s="157" t="e">
        <f>#REF!</f>
        <v>#REF!</v>
      </c>
      <c r="BZ80" s="158" t="e">
        <f>#REF!</f>
        <v>#REF!</v>
      </c>
      <c r="CA80" s="158" t="e">
        <f>#REF!</f>
        <v>#REF!</v>
      </c>
      <c r="CB80" s="158" t="e">
        <f>#REF!</f>
        <v>#REF!</v>
      </c>
      <c r="CC80" s="158" t="e">
        <f>#REF!</f>
        <v>#REF!</v>
      </c>
      <c r="CF80" s="166" t="e">
        <f t="shared" si="63"/>
        <v>#REF!</v>
      </c>
      <c r="CG80" s="166" t="s">
        <v>198</v>
      </c>
      <c r="CH80" s="166" t="e">
        <f>#REF!</f>
        <v>#REF!</v>
      </c>
      <c r="CI80" s="167" t="e">
        <f>#REF!</f>
        <v>#REF!</v>
      </c>
      <c r="CJ80" s="166">
        <v>1080</v>
      </c>
      <c r="CK80" s="166" t="e">
        <f t="shared" si="64"/>
        <v>#REF!</v>
      </c>
    </row>
    <row r="81" spans="2:89" s="108" customFormat="1" hidden="1">
      <c r="B81" s="109"/>
      <c r="C81" s="141" t="e">
        <f t="shared" si="60"/>
        <v>#NUM!</v>
      </c>
      <c r="D81" s="141">
        <f t="shared" si="2"/>
        <v>0</v>
      </c>
      <c r="E81" s="141" t="str">
        <f>IFERROR(DGET($BV$30:$CC$82,F81,G80:G81),"")</f>
        <v/>
      </c>
      <c r="F81" s="142">
        <f t="shared" si="42"/>
        <v>0</v>
      </c>
      <c r="G81" s="142" t="b">
        <f>IF(Q81&gt;0,IF(AND(S81&gt;0,S81&lt;2),CONCATENATE(Q81," ","0-2"),IF(AND(S81&gt;=2,S81&lt;8),CONCATENATE(Q81," ","2-8"),)))</f>
        <v>0</v>
      </c>
      <c r="H81" s="80">
        <f t="shared" si="3"/>
        <v>0</v>
      </c>
      <c r="I81" s="80" t="str">
        <f t="shared" si="4"/>
        <v/>
      </c>
      <c r="J81" s="76"/>
      <c r="K81" s="76"/>
      <c r="L81" s="76"/>
      <c r="M81" s="80"/>
      <c r="N81" s="79"/>
      <c r="O81" s="148"/>
      <c r="P81" s="77">
        <f t="shared" si="5"/>
        <v>0</v>
      </c>
      <c r="Q81" s="81"/>
      <c r="R81" s="77"/>
      <c r="S81" s="146">
        <f t="shared" si="61"/>
        <v>0</v>
      </c>
      <c r="T81" s="141" t="b">
        <f t="shared" si="43"/>
        <v>0</v>
      </c>
      <c r="U81" s="649">
        <f t="shared" si="7"/>
        <v>0</v>
      </c>
      <c r="V81" s="650"/>
      <c r="W81" s="649">
        <f t="shared" si="8"/>
        <v>0</v>
      </c>
      <c r="X81" s="650"/>
      <c r="Y81" s="649">
        <f t="shared" si="9"/>
        <v>0</v>
      </c>
      <c r="Z81" s="650"/>
      <c r="AA81" s="649">
        <f t="shared" si="10"/>
        <v>0</v>
      </c>
      <c r="AB81" s="650"/>
      <c r="AC81" s="649">
        <f t="shared" si="11"/>
        <v>0</v>
      </c>
      <c r="AD81" s="650"/>
      <c r="AE81" s="649">
        <f t="shared" si="12"/>
        <v>0</v>
      </c>
      <c r="AF81" s="650"/>
      <c r="AG81" s="649">
        <f t="shared" si="13"/>
        <v>0</v>
      </c>
      <c r="AH81" s="650"/>
      <c r="AI81" s="649">
        <f t="shared" si="14"/>
        <v>0</v>
      </c>
      <c r="AJ81" s="650"/>
      <c r="AK81" s="649">
        <f t="shared" si="15"/>
        <v>0</v>
      </c>
      <c r="AL81" s="650"/>
      <c r="AM81" s="649">
        <f t="shared" si="16"/>
        <v>0</v>
      </c>
      <c r="AN81" s="650"/>
      <c r="AO81" s="649">
        <f t="shared" si="17"/>
        <v>0</v>
      </c>
      <c r="AP81" s="650"/>
      <c r="AQ81" s="649">
        <f t="shared" si="18"/>
        <v>0</v>
      </c>
      <c r="AR81" s="650"/>
      <c r="AS81" s="651">
        <f t="shared" si="19"/>
        <v>0</v>
      </c>
      <c r="AT81" s="652"/>
      <c r="AU81" s="141">
        <f t="shared" si="20"/>
        <v>0</v>
      </c>
      <c r="AV81" s="141">
        <f t="shared" si="21"/>
        <v>0</v>
      </c>
      <c r="AW81" s="141">
        <f t="shared" si="22"/>
        <v>0</v>
      </c>
      <c r="AX81" s="141">
        <f t="shared" si="23"/>
        <v>0</v>
      </c>
      <c r="AY81" s="141">
        <f t="shared" si="24"/>
        <v>0</v>
      </c>
      <c r="AZ81" s="141">
        <f t="shared" si="25"/>
        <v>0</v>
      </c>
      <c r="BA81" s="141">
        <f t="shared" si="26"/>
        <v>0</v>
      </c>
      <c r="BB81" s="141">
        <f t="shared" si="27"/>
        <v>0</v>
      </c>
      <c r="BC81" s="141">
        <f t="shared" si="28"/>
        <v>0</v>
      </c>
      <c r="BD81" s="141">
        <f t="shared" si="29"/>
        <v>0</v>
      </c>
      <c r="BE81" s="141">
        <f t="shared" si="30"/>
        <v>0</v>
      </c>
      <c r="BF81" s="141">
        <f t="shared" si="31"/>
        <v>0</v>
      </c>
      <c r="BG81" s="141">
        <f t="shared" si="32"/>
        <v>0</v>
      </c>
      <c r="BH81" s="141">
        <f t="shared" si="33"/>
        <v>0</v>
      </c>
      <c r="BI81" s="141">
        <f t="shared" si="34"/>
        <v>0</v>
      </c>
      <c r="BJ81" s="147">
        <f t="shared" si="35"/>
        <v>0</v>
      </c>
      <c r="BK81" s="141">
        <f t="shared" si="36"/>
        <v>0</v>
      </c>
      <c r="BL81" s="141">
        <f t="shared" si="37"/>
        <v>0</v>
      </c>
      <c r="BM81" s="141">
        <f t="shared" si="38"/>
        <v>0</v>
      </c>
      <c r="BN81" s="141">
        <f t="shared" si="39"/>
        <v>0</v>
      </c>
      <c r="BO81" s="141">
        <f t="shared" si="40"/>
        <v>0</v>
      </c>
      <c r="BP81" s="141">
        <f t="shared" si="41"/>
        <v>0</v>
      </c>
      <c r="BS81" s="153"/>
      <c r="BT81" s="172"/>
      <c r="BU81" s="173"/>
      <c r="BV81" s="174"/>
      <c r="BW81" s="175"/>
      <c r="BX81" s="176"/>
      <c r="BY81" s="175"/>
      <c r="BZ81" s="176"/>
      <c r="CA81" s="176"/>
      <c r="CB81" s="176"/>
      <c r="CC81" s="176"/>
      <c r="CF81" s="166" t="e">
        <f t="shared" si="63"/>
        <v>#REF!</v>
      </c>
      <c r="CG81" s="166" t="s">
        <v>198</v>
      </c>
      <c r="CH81" s="166" t="e">
        <f>#REF!</f>
        <v>#REF!</v>
      </c>
      <c r="CI81" s="167" t="e">
        <f>#REF!</f>
        <v>#REF!</v>
      </c>
      <c r="CJ81" s="166">
        <v>1200</v>
      </c>
      <c r="CK81" s="166" t="e">
        <f t="shared" si="64"/>
        <v>#REF!</v>
      </c>
    </row>
    <row r="82" spans="2:89" s="108" customFormat="1" hidden="1">
      <c r="B82" s="109"/>
      <c r="C82" s="141" t="e">
        <f t="shared" si="60"/>
        <v>#NUM!</v>
      </c>
      <c r="D82" s="141">
        <f t="shared" si="2"/>
        <v>0</v>
      </c>
      <c r="E82" s="141"/>
      <c r="F82" s="142">
        <f t="shared" si="42"/>
        <v>0</v>
      </c>
      <c r="G82" s="143" t="s">
        <v>146</v>
      </c>
      <c r="H82" s="80">
        <f t="shared" si="3"/>
        <v>0</v>
      </c>
      <c r="I82" s="80" t="str">
        <f t="shared" si="4"/>
        <v/>
      </c>
      <c r="J82" s="144"/>
      <c r="K82" s="144"/>
      <c r="L82" s="144"/>
      <c r="M82" s="76"/>
      <c r="N82" s="77"/>
      <c r="O82" s="145"/>
      <c r="P82" s="77">
        <f t="shared" si="5"/>
        <v>0</v>
      </c>
      <c r="Q82" s="78"/>
      <c r="R82" s="79"/>
      <c r="S82" s="146">
        <f t="shared" si="61"/>
        <v>0</v>
      </c>
      <c r="T82" s="141" t="b">
        <f t="shared" si="43"/>
        <v>0</v>
      </c>
      <c r="U82" s="649">
        <f t="shared" si="7"/>
        <v>0</v>
      </c>
      <c r="V82" s="650"/>
      <c r="W82" s="649">
        <f t="shared" si="8"/>
        <v>0</v>
      </c>
      <c r="X82" s="650"/>
      <c r="Y82" s="649">
        <f t="shared" si="9"/>
        <v>0</v>
      </c>
      <c r="Z82" s="650"/>
      <c r="AA82" s="649">
        <f t="shared" si="10"/>
        <v>0</v>
      </c>
      <c r="AB82" s="650"/>
      <c r="AC82" s="649">
        <f t="shared" si="11"/>
        <v>0</v>
      </c>
      <c r="AD82" s="650"/>
      <c r="AE82" s="649">
        <f t="shared" si="12"/>
        <v>0</v>
      </c>
      <c r="AF82" s="650"/>
      <c r="AG82" s="649">
        <f t="shared" si="13"/>
        <v>0</v>
      </c>
      <c r="AH82" s="650"/>
      <c r="AI82" s="649">
        <f t="shared" si="14"/>
        <v>0</v>
      </c>
      <c r="AJ82" s="650"/>
      <c r="AK82" s="649">
        <f t="shared" si="15"/>
        <v>0</v>
      </c>
      <c r="AL82" s="650"/>
      <c r="AM82" s="649">
        <f t="shared" si="16"/>
        <v>0</v>
      </c>
      <c r="AN82" s="650"/>
      <c r="AO82" s="649">
        <f t="shared" si="17"/>
        <v>0</v>
      </c>
      <c r="AP82" s="650"/>
      <c r="AQ82" s="649">
        <f t="shared" si="18"/>
        <v>0</v>
      </c>
      <c r="AR82" s="650"/>
      <c r="AS82" s="651">
        <f t="shared" si="19"/>
        <v>0</v>
      </c>
      <c r="AT82" s="652"/>
      <c r="AU82" s="141">
        <f t="shared" si="20"/>
        <v>0</v>
      </c>
      <c r="AV82" s="141">
        <f t="shared" si="21"/>
        <v>0</v>
      </c>
      <c r="AW82" s="141">
        <f t="shared" si="22"/>
        <v>0</v>
      </c>
      <c r="AX82" s="141">
        <f t="shared" si="23"/>
        <v>0</v>
      </c>
      <c r="AY82" s="141">
        <f t="shared" si="24"/>
        <v>0</v>
      </c>
      <c r="AZ82" s="141">
        <f t="shared" si="25"/>
        <v>0</v>
      </c>
      <c r="BA82" s="141">
        <f t="shared" si="26"/>
        <v>0</v>
      </c>
      <c r="BB82" s="141">
        <f t="shared" si="27"/>
        <v>0</v>
      </c>
      <c r="BC82" s="141">
        <f t="shared" si="28"/>
        <v>0</v>
      </c>
      <c r="BD82" s="141">
        <f t="shared" si="29"/>
        <v>0</v>
      </c>
      <c r="BE82" s="141">
        <f t="shared" si="30"/>
        <v>0</v>
      </c>
      <c r="BF82" s="141">
        <f t="shared" si="31"/>
        <v>0</v>
      </c>
      <c r="BG82" s="141">
        <f t="shared" si="32"/>
        <v>0</v>
      </c>
      <c r="BH82" s="141">
        <f t="shared" si="33"/>
        <v>0</v>
      </c>
      <c r="BI82" s="141">
        <f t="shared" si="34"/>
        <v>0</v>
      </c>
      <c r="BJ82" s="147">
        <f t="shared" si="35"/>
        <v>0</v>
      </c>
      <c r="BK82" s="141">
        <f t="shared" si="36"/>
        <v>0</v>
      </c>
      <c r="BL82" s="141">
        <f t="shared" si="37"/>
        <v>0</v>
      </c>
      <c r="BM82" s="141">
        <f t="shared" si="38"/>
        <v>0</v>
      </c>
      <c r="BN82" s="141">
        <f t="shared" si="39"/>
        <v>0</v>
      </c>
      <c r="BO82" s="141">
        <f t="shared" si="40"/>
        <v>0</v>
      </c>
      <c r="BP82" s="141">
        <f t="shared" si="41"/>
        <v>0</v>
      </c>
      <c r="BS82" s="153"/>
      <c r="BT82" s="177"/>
      <c r="BU82" s="173"/>
      <c r="BV82" s="174"/>
      <c r="BW82" s="175"/>
      <c r="BX82" s="176"/>
      <c r="BY82" s="175"/>
      <c r="BZ82" s="176"/>
      <c r="CA82" s="176"/>
      <c r="CB82" s="176"/>
      <c r="CC82" s="176"/>
      <c r="CF82" s="166" t="e">
        <f t="shared" si="63"/>
        <v>#REF!</v>
      </c>
      <c r="CG82" s="166" t="s">
        <v>198</v>
      </c>
      <c r="CH82" s="166" t="e">
        <f>#REF!</f>
        <v>#REF!</v>
      </c>
      <c r="CI82" s="167" t="e">
        <f>#REF!</f>
        <v>#REF!</v>
      </c>
      <c r="CJ82" s="166">
        <v>1320</v>
      </c>
      <c r="CK82" s="166" t="e">
        <f t="shared" si="64"/>
        <v>#REF!</v>
      </c>
    </row>
    <row r="83" spans="2:89" s="108" customFormat="1" hidden="1">
      <c r="B83" s="109"/>
      <c r="C83" s="141" t="e">
        <f t="shared" si="60"/>
        <v>#NUM!</v>
      </c>
      <c r="D83" s="141">
        <f t="shared" si="2"/>
        <v>0</v>
      </c>
      <c r="E83" s="141" t="str">
        <f>IFERROR(DGET($BV$30:$CC$82,F83,G82:G83),"")</f>
        <v/>
      </c>
      <c r="F83" s="142">
        <f t="shared" si="42"/>
        <v>0</v>
      </c>
      <c r="G83" s="142" t="b">
        <f>IF(Q83&gt;0,IF(AND(S83&gt;0,S83&lt;2),CONCATENATE(Q83," ","0-2"),IF(AND(S83&gt;=2,S83&lt;8),CONCATENATE(Q83," ","2-8"),)))</f>
        <v>0</v>
      </c>
      <c r="H83" s="80">
        <f t="shared" si="3"/>
        <v>0</v>
      </c>
      <c r="I83" s="80" t="str">
        <f t="shared" si="4"/>
        <v/>
      </c>
      <c r="J83" s="76"/>
      <c r="K83" s="76"/>
      <c r="L83" s="76"/>
      <c r="M83" s="80"/>
      <c r="N83" s="79"/>
      <c r="O83" s="148"/>
      <c r="P83" s="77">
        <f t="shared" si="5"/>
        <v>0</v>
      </c>
      <c r="Q83" s="81"/>
      <c r="R83" s="77"/>
      <c r="S83" s="146">
        <f t="shared" si="61"/>
        <v>0</v>
      </c>
      <c r="T83" s="141" t="b">
        <f t="shared" si="43"/>
        <v>0</v>
      </c>
      <c r="U83" s="649">
        <f t="shared" si="7"/>
        <v>0</v>
      </c>
      <c r="V83" s="650"/>
      <c r="W83" s="649">
        <f t="shared" si="8"/>
        <v>0</v>
      </c>
      <c r="X83" s="650"/>
      <c r="Y83" s="649">
        <f t="shared" si="9"/>
        <v>0</v>
      </c>
      <c r="Z83" s="650"/>
      <c r="AA83" s="649">
        <f t="shared" si="10"/>
        <v>0</v>
      </c>
      <c r="AB83" s="650"/>
      <c r="AC83" s="649">
        <f t="shared" si="11"/>
        <v>0</v>
      </c>
      <c r="AD83" s="650"/>
      <c r="AE83" s="649">
        <f t="shared" si="12"/>
        <v>0</v>
      </c>
      <c r="AF83" s="650"/>
      <c r="AG83" s="649">
        <f t="shared" si="13"/>
        <v>0</v>
      </c>
      <c r="AH83" s="650"/>
      <c r="AI83" s="649">
        <f t="shared" si="14"/>
        <v>0</v>
      </c>
      <c r="AJ83" s="650"/>
      <c r="AK83" s="649">
        <f t="shared" si="15"/>
        <v>0</v>
      </c>
      <c r="AL83" s="650"/>
      <c r="AM83" s="649">
        <f t="shared" si="16"/>
        <v>0</v>
      </c>
      <c r="AN83" s="650"/>
      <c r="AO83" s="649">
        <f t="shared" si="17"/>
        <v>0</v>
      </c>
      <c r="AP83" s="650"/>
      <c r="AQ83" s="649">
        <f t="shared" si="18"/>
        <v>0</v>
      </c>
      <c r="AR83" s="650"/>
      <c r="AS83" s="651">
        <f t="shared" si="19"/>
        <v>0</v>
      </c>
      <c r="AT83" s="652"/>
      <c r="AU83" s="141">
        <f t="shared" si="20"/>
        <v>0</v>
      </c>
      <c r="AV83" s="141">
        <f t="shared" si="21"/>
        <v>0</v>
      </c>
      <c r="AW83" s="141">
        <f t="shared" si="22"/>
        <v>0</v>
      </c>
      <c r="AX83" s="141">
        <f t="shared" si="23"/>
        <v>0</v>
      </c>
      <c r="AY83" s="141">
        <f t="shared" si="24"/>
        <v>0</v>
      </c>
      <c r="AZ83" s="141">
        <f t="shared" si="25"/>
        <v>0</v>
      </c>
      <c r="BA83" s="141">
        <f t="shared" si="26"/>
        <v>0</v>
      </c>
      <c r="BB83" s="141">
        <f t="shared" si="27"/>
        <v>0</v>
      </c>
      <c r="BC83" s="141">
        <f t="shared" si="28"/>
        <v>0</v>
      </c>
      <c r="BD83" s="141">
        <f t="shared" si="29"/>
        <v>0</v>
      </c>
      <c r="BE83" s="141">
        <f t="shared" si="30"/>
        <v>0</v>
      </c>
      <c r="BF83" s="141">
        <f t="shared" si="31"/>
        <v>0</v>
      </c>
      <c r="BG83" s="141">
        <f t="shared" si="32"/>
        <v>0</v>
      </c>
      <c r="BH83" s="141">
        <f t="shared" si="33"/>
        <v>0</v>
      </c>
      <c r="BI83" s="141">
        <f t="shared" si="34"/>
        <v>0</v>
      </c>
      <c r="BJ83" s="147">
        <f t="shared" si="35"/>
        <v>0</v>
      </c>
      <c r="BK83" s="141">
        <f t="shared" si="36"/>
        <v>0</v>
      </c>
      <c r="BL83" s="141">
        <f t="shared" si="37"/>
        <v>0</v>
      </c>
      <c r="BM83" s="141">
        <f t="shared" si="38"/>
        <v>0</v>
      </c>
      <c r="BN83" s="141">
        <f t="shared" si="39"/>
        <v>0</v>
      </c>
      <c r="BO83" s="141">
        <f t="shared" si="40"/>
        <v>0</v>
      </c>
      <c r="BP83" s="141">
        <f t="shared" si="41"/>
        <v>0</v>
      </c>
      <c r="BS83" s="153"/>
      <c r="BT83" s="177"/>
      <c r="BU83" s="173"/>
      <c r="BV83" s="174"/>
      <c r="BW83" s="175"/>
      <c r="BX83" s="176"/>
      <c r="BY83" s="175"/>
      <c r="BZ83" s="176"/>
      <c r="CA83" s="176"/>
      <c r="CB83" s="176"/>
      <c r="CC83" s="176"/>
      <c r="CF83" s="166" t="e">
        <f t="shared" si="63"/>
        <v>#REF!</v>
      </c>
      <c r="CG83" s="166" t="s">
        <v>198</v>
      </c>
      <c r="CH83" s="166" t="e">
        <f>#REF!</f>
        <v>#REF!</v>
      </c>
      <c r="CI83" s="167" t="e">
        <f>#REF!</f>
        <v>#REF!</v>
      </c>
      <c r="CJ83" s="166">
        <v>1430</v>
      </c>
      <c r="CK83" s="166" t="e">
        <f t="shared" si="64"/>
        <v>#REF!</v>
      </c>
    </row>
    <row r="84" spans="2:89" s="108" customFormat="1" hidden="1">
      <c r="B84" s="109"/>
      <c r="C84" s="141" t="e">
        <f t="shared" si="60"/>
        <v>#NUM!</v>
      </c>
      <c r="D84" s="141">
        <f t="shared" si="2"/>
        <v>0</v>
      </c>
      <c r="E84" s="141"/>
      <c r="F84" s="142">
        <f t="shared" si="42"/>
        <v>0</v>
      </c>
      <c r="G84" s="143" t="s">
        <v>146</v>
      </c>
      <c r="H84" s="80">
        <f t="shared" si="3"/>
        <v>0</v>
      </c>
      <c r="I84" s="80" t="str">
        <f t="shared" si="4"/>
        <v/>
      </c>
      <c r="J84" s="144"/>
      <c r="K84" s="144"/>
      <c r="L84" s="144"/>
      <c r="M84" s="76"/>
      <c r="N84" s="77"/>
      <c r="O84" s="145"/>
      <c r="P84" s="77">
        <f t="shared" si="5"/>
        <v>0</v>
      </c>
      <c r="Q84" s="78"/>
      <c r="R84" s="79"/>
      <c r="S84" s="146">
        <f t="shared" si="61"/>
        <v>0</v>
      </c>
      <c r="T84" s="141" t="b">
        <f t="shared" si="43"/>
        <v>0</v>
      </c>
      <c r="U84" s="649">
        <f t="shared" si="7"/>
        <v>0</v>
      </c>
      <c r="V84" s="650"/>
      <c r="W84" s="649">
        <f t="shared" si="8"/>
        <v>0</v>
      </c>
      <c r="X84" s="650"/>
      <c r="Y84" s="649">
        <f t="shared" si="9"/>
        <v>0</v>
      </c>
      <c r="Z84" s="650"/>
      <c r="AA84" s="649">
        <f t="shared" si="10"/>
        <v>0</v>
      </c>
      <c r="AB84" s="650"/>
      <c r="AC84" s="649">
        <f t="shared" si="11"/>
        <v>0</v>
      </c>
      <c r="AD84" s="650"/>
      <c r="AE84" s="649">
        <f t="shared" si="12"/>
        <v>0</v>
      </c>
      <c r="AF84" s="650"/>
      <c r="AG84" s="649">
        <f t="shared" si="13"/>
        <v>0</v>
      </c>
      <c r="AH84" s="650"/>
      <c r="AI84" s="649">
        <f t="shared" si="14"/>
        <v>0</v>
      </c>
      <c r="AJ84" s="650"/>
      <c r="AK84" s="649">
        <f t="shared" si="15"/>
        <v>0</v>
      </c>
      <c r="AL84" s="650"/>
      <c r="AM84" s="649">
        <f t="shared" si="16"/>
        <v>0</v>
      </c>
      <c r="AN84" s="650"/>
      <c r="AO84" s="649">
        <f t="shared" si="17"/>
        <v>0</v>
      </c>
      <c r="AP84" s="650"/>
      <c r="AQ84" s="649">
        <f t="shared" si="18"/>
        <v>0</v>
      </c>
      <c r="AR84" s="650"/>
      <c r="AS84" s="651">
        <f t="shared" si="19"/>
        <v>0</v>
      </c>
      <c r="AT84" s="652"/>
      <c r="AU84" s="141">
        <f t="shared" si="20"/>
        <v>0</v>
      </c>
      <c r="AV84" s="141">
        <f t="shared" si="21"/>
        <v>0</v>
      </c>
      <c r="AW84" s="141">
        <f t="shared" si="22"/>
        <v>0</v>
      </c>
      <c r="AX84" s="141">
        <f t="shared" si="23"/>
        <v>0</v>
      </c>
      <c r="AY84" s="141">
        <f t="shared" si="24"/>
        <v>0</v>
      </c>
      <c r="AZ84" s="141">
        <f t="shared" si="25"/>
        <v>0</v>
      </c>
      <c r="BA84" s="141">
        <f t="shared" si="26"/>
        <v>0</v>
      </c>
      <c r="BB84" s="141">
        <f t="shared" si="27"/>
        <v>0</v>
      </c>
      <c r="BC84" s="141">
        <f t="shared" si="28"/>
        <v>0</v>
      </c>
      <c r="BD84" s="141">
        <f t="shared" si="29"/>
        <v>0</v>
      </c>
      <c r="BE84" s="141">
        <f t="shared" si="30"/>
        <v>0</v>
      </c>
      <c r="BF84" s="141">
        <f t="shared" si="31"/>
        <v>0</v>
      </c>
      <c r="BG84" s="141">
        <f t="shared" si="32"/>
        <v>0</v>
      </c>
      <c r="BH84" s="141">
        <f t="shared" si="33"/>
        <v>0</v>
      </c>
      <c r="BI84" s="141">
        <f t="shared" si="34"/>
        <v>0</v>
      </c>
      <c r="BJ84" s="147">
        <f t="shared" si="35"/>
        <v>0</v>
      </c>
      <c r="BK84" s="141">
        <f t="shared" si="36"/>
        <v>0</v>
      </c>
      <c r="BL84" s="141">
        <f t="shared" si="37"/>
        <v>0</v>
      </c>
      <c r="BM84" s="141">
        <f t="shared" si="38"/>
        <v>0</v>
      </c>
      <c r="BN84" s="141">
        <f t="shared" si="39"/>
        <v>0</v>
      </c>
      <c r="BO84" s="141">
        <f t="shared" si="40"/>
        <v>0</v>
      </c>
      <c r="BP84" s="141">
        <f t="shared" si="41"/>
        <v>0</v>
      </c>
      <c r="BS84" s="153"/>
      <c r="BT84" s="177"/>
      <c r="BU84" s="173"/>
      <c r="BV84" s="174"/>
      <c r="BW84" s="175"/>
      <c r="BX84" s="176"/>
      <c r="BY84" s="175"/>
      <c r="BZ84" s="176"/>
      <c r="CA84" s="176"/>
      <c r="CB84" s="176"/>
      <c r="CC84" s="176"/>
      <c r="CF84" s="166" t="e">
        <f t="shared" si="63"/>
        <v>#REF!</v>
      </c>
      <c r="CG84" s="166" t="s">
        <v>198</v>
      </c>
      <c r="CH84" s="166" t="e">
        <f>#REF!</f>
        <v>#REF!</v>
      </c>
      <c r="CI84" s="167" t="e">
        <f>#REF!</f>
        <v>#REF!</v>
      </c>
      <c r="CJ84" s="166">
        <v>1544</v>
      </c>
      <c r="CK84" s="166" t="e">
        <f t="shared" si="64"/>
        <v>#REF!</v>
      </c>
    </row>
    <row r="85" spans="2:89" s="108" customFormat="1" hidden="1">
      <c r="B85" s="109"/>
      <c r="C85" s="141" t="e">
        <f t="shared" si="60"/>
        <v>#NUM!</v>
      </c>
      <c r="D85" s="141">
        <f t="shared" si="2"/>
        <v>0</v>
      </c>
      <c r="E85" s="141" t="str">
        <f>IFERROR(DGET($BV$30:$CC$82,F85,G84:G85),"")</f>
        <v/>
      </c>
      <c r="F85" s="142">
        <f t="shared" si="42"/>
        <v>0</v>
      </c>
      <c r="G85" s="142" t="b">
        <f>IF(Q85&gt;0,IF(AND(S85&gt;0,S85&lt;2),CONCATENATE(Q85," ","0-2"),IF(AND(S85&gt;=2,S85&lt;8),CONCATENATE(Q85," ","2-8"),)))</f>
        <v>0</v>
      </c>
      <c r="H85" s="80">
        <f t="shared" si="3"/>
        <v>0</v>
      </c>
      <c r="I85" s="80" t="str">
        <f t="shared" si="4"/>
        <v/>
      </c>
      <c r="J85" s="76"/>
      <c r="K85" s="76"/>
      <c r="L85" s="76"/>
      <c r="M85" s="80"/>
      <c r="N85" s="79"/>
      <c r="O85" s="148"/>
      <c r="P85" s="77">
        <f t="shared" si="5"/>
        <v>0</v>
      </c>
      <c r="Q85" s="81"/>
      <c r="R85" s="77"/>
      <c r="S85" s="146">
        <f t="shared" si="61"/>
        <v>0</v>
      </c>
      <c r="T85" s="141" t="b">
        <f t="shared" si="43"/>
        <v>0</v>
      </c>
      <c r="U85" s="649">
        <f t="shared" si="7"/>
        <v>0</v>
      </c>
      <c r="V85" s="650"/>
      <c r="W85" s="649">
        <f t="shared" si="8"/>
        <v>0</v>
      </c>
      <c r="X85" s="650"/>
      <c r="Y85" s="649">
        <f t="shared" si="9"/>
        <v>0</v>
      </c>
      <c r="Z85" s="650"/>
      <c r="AA85" s="649">
        <f t="shared" si="10"/>
        <v>0</v>
      </c>
      <c r="AB85" s="650"/>
      <c r="AC85" s="649">
        <f t="shared" si="11"/>
        <v>0</v>
      </c>
      <c r="AD85" s="650"/>
      <c r="AE85" s="649">
        <f t="shared" si="12"/>
        <v>0</v>
      </c>
      <c r="AF85" s="650"/>
      <c r="AG85" s="649">
        <f t="shared" si="13"/>
        <v>0</v>
      </c>
      <c r="AH85" s="650"/>
      <c r="AI85" s="649">
        <f t="shared" si="14"/>
        <v>0</v>
      </c>
      <c r="AJ85" s="650"/>
      <c r="AK85" s="649">
        <f t="shared" si="15"/>
        <v>0</v>
      </c>
      <c r="AL85" s="650"/>
      <c r="AM85" s="649">
        <f t="shared" si="16"/>
        <v>0</v>
      </c>
      <c r="AN85" s="650"/>
      <c r="AO85" s="649">
        <f t="shared" si="17"/>
        <v>0</v>
      </c>
      <c r="AP85" s="650"/>
      <c r="AQ85" s="649">
        <f t="shared" si="18"/>
        <v>0</v>
      </c>
      <c r="AR85" s="650"/>
      <c r="AS85" s="651">
        <f t="shared" si="19"/>
        <v>0</v>
      </c>
      <c r="AT85" s="652"/>
      <c r="AU85" s="141">
        <f t="shared" si="20"/>
        <v>0</v>
      </c>
      <c r="AV85" s="141">
        <f t="shared" si="21"/>
        <v>0</v>
      </c>
      <c r="AW85" s="141">
        <f t="shared" si="22"/>
        <v>0</v>
      </c>
      <c r="AX85" s="141">
        <f t="shared" si="23"/>
        <v>0</v>
      </c>
      <c r="AY85" s="141">
        <f t="shared" si="24"/>
        <v>0</v>
      </c>
      <c r="AZ85" s="141">
        <f t="shared" si="25"/>
        <v>0</v>
      </c>
      <c r="BA85" s="141">
        <f t="shared" si="26"/>
        <v>0</v>
      </c>
      <c r="BB85" s="141">
        <f t="shared" si="27"/>
        <v>0</v>
      </c>
      <c r="BC85" s="141">
        <f t="shared" si="28"/>
        <v>0</v>
      </c>
      <c r="BD85" s="141">
        <f t="shared" si="29"/>
        <v>0</v>
      </c>
      <c r="BE85" s="141">
        <f t="shared" si="30"/>
        <v>0</v>
      </c>
      <c r="BF85" s="141">
        <f t="shared" si="31"/>
        <v>0</v>
      </c>
      <c r="BG85" s="141">
        <f t="shared" si="32"/>
        <v>0</v>
      </c>
      <c r="BH85" s="141">
        <f t="shared" si="33"/>
        <v>0</v>
      </c>
      <c r="BI85" s="141">
        <f t="shared" si="34"/>
        <v>0</v>
      </c>
      <c r="BJ85" s="147">
        <f t="shared" si="35"/>
        <v>0</v>
      </c>
      <c r="BK85" s="141">
        <f t="shared" si="36"/>
        <v>0</v>
      </c>
      <c r="BL85" s="141">
        <f t="shared" si="37"/>
        <v>0</v>
      </c>
      <c r="BM85" s="141">
        <f t="shared" si="38"/>
        <v>0</v>
      </c>
      <c r="BN85" s="141">
        <f t="shared" si="39"/>
        <v>0</v>
      </c>
      <c r="BO85" s="141">
        <f t="shared" si="40"/>
        <v>0</v>
      </c>
      <c r="BP85" s="141">
        <f t="shared" si="41"/>
        <v>0</v>
      </c>
      <c r="BS85" s="153"/>
      <c r="BT85" s="177"/>
      <c r="BU85" s="173"/>
      <c r="BV85" s="174"/>
      <c r="BW85" s="175"/>
      <c r="BX85" s="176"/>
      <c r="BY85" s="175"/>
      <c r="BZ85" s="176"/>
      <c r="CA85" s="176"/>
      <c r="CB85" s="176"/>
      <c r="CC85" s="176"/>
      <c r="CF85" s="166" t="e">
        <f t="shared" si="63"/>
        <v>#REF!</v>
      </c>
      <c r="CG85" s="166" t="s">
        <v>198</v>
      </c>
      <c r="CH85" s="166" t="e">
        <f>#REF!</f>
        <v>#REF!</v>
      </c>
      <c r="CI85" s="167" t="e">
        <f>#REF!</f>
        <v>#REF!</v>
      </c>
      <c r="CJ85" s="166">
        <v>1740</v>
      </c>
      <c r="CK85" s="166" t="e">
        <f t="shared" si="64"/>
        <v>#REF!</v>
      </c>
    </row>
    <row r="86" spans="2:89" s="108" customFormat="1" hidden="1">
      <c r="B86" s="109"/>
      <c r="C86" s="141" t="e">
        <f t="shared" si="60"/>
        <v>#NUM!</v>
      </c>
      <c r="D86" s="141">
        <f t="shared" si="2"/>
        <v>0</v>
      </c>
      <c r="E86" s="141"/>
      <c r="F86" s="142">
        <f t="shared" si="42"/>
        <v>0</v>
      </c>
      <c r="G86" s="143" t="s">
        <v>146</v>
      </c>
      <c r="H86" s="80">
        <f t="shared" si="3"/>
        <v>0</v>
      </c>
      <c r="I86" s="80" t="str">
        <f t="shared" si="4"/>
        <v/>
      </c>
      <c r="J86" s="144"/>
      <c r="K86" s="144"/>
      <c r="L86" s="144"/>
      <c r="M86" s="76"/>
      <c r="N86" s="77"/>
      <c r="O86" s="145"/>
      <c r="P86" s="77">
        <f t="shared" si="5"/>
        <v>0</v>
      </c>
      <c r="Q86" s="78"/>
      <c r="R86" s="79"/>
      <c r="S86" s="146">
        <f t="shared" si="61"/>
        <v>0</v>
      </c>
      <c r="T86" s="141" t="b">
        <f t="shared" si="43"/>
        <v>0</v>
      </c>
      <c r="U86" s="649">
        <f t="shared" si="7"/>
        <v>0</v>
      </c>
      <c r="V86" s="650"/>
      <c r="W86" s="649">
        <f t="shared" si="8"/>
        <v>0</v>
      </c>
      <c r="X86" s="650"/>
      <c r="Y86" s="649">
        <f t="shared" si="9"/>
        <v>0</v>
      </c>
      <c r="Z86" s="650"/>
      <c r="AA86" s="649">
        <f t="shared" si="10"/>
        <v>0</v>
      </c>
      <c r="AB86" s="650"/>
      <c r="AC86" s="649">
        <f t="shared" si="11"/>
        <v>0</v>
      </c>
      <c r="AD86" s="650"/>
      <c r="AE86" s="649">
        <f t="shared" si="12"/>
        <v>0</v>
      </c>
      <c r="AF86" s="650"/>
      <c r="AG86" s="649">
        <f t="shared" si="13"/>
        <v>0</v>
      </c>
      <c r="AH86" s="650"/>
      <c r="AI86" s="649">
        <f t="shared" si="14"/>
        <v>0</v>
      </c>
      <c r="AJ86" s="650"/>
      <c r="AK86" s="649">
        <f t="shared" si="15"/>
        <v>0</v>
      </c>
      <c r="AL86" s="650"/>
      <c r="AM86" s="649">
        <f t="shared" si="16"/>
        <v>0</v>
      </c>
      <c r="AN86" s="650"/>
      <c r="AO86" s="649">
        <f t="shared" si="17"/>
        <v>0</v>
      </c>
      <c r="AP86" s="650"/>
      <c r="AQ86" s="649">
        <f t="shared" si="18"/>
        <v>0</v>
      </c>
      <c r="AR86" s="650"/>
      <c r="AS86" s="651">
        <f t="shared" si="19"/>
        <v>0</v>
      </c>
      <c r="AT86" s="652"/>
      <c r="AU86" s="141">
        <f t="shared" si="20"/>
        <v>0</v>
      </c>
      <c r="AV86" s="141">
        <f t="shared" si="21"/>
        <v>0</v>
      </c>
      <c r="AW86" s="141">
        <f t="shared" si="22"/>
        <v>0</v>
      </c>
      <c r="AX86" s="141">
        <f t="shared" si="23"/>
        <v>0</v>
      </c>
      <c r="AY86" s="141">
        <f t="shared" si="24"/>
        <v>0</v>
      </c>
      <c r="AZ86" s="141">
        <f t="shared" si="25"/>
        <v>0</v>
      </c>
      <c r="BA86" s="141">
        <f t="shared" si="26"/>
        <v>0</v>
      </c>
      <c r="BB86" s="141">
        <f t="shared" si="27"/>
        <v>0</v>
      </c>
      <c r="BC86" s="141">
        <f t="shared" si="28"/>
        <v>0</v>
      </c>
      <c r="BD86" s="141">
        <f t="shared" si="29"/>
        <v>0</v>
      </c>
      <c r="BE86" s="141">
        <f t="shared" si="30"/>
        <v>0</v>
      </c>
      <c r="BF86" s="141">
        <f t="shared" si="31"/>
        <v>0</v>
      </c>
      <c r="BG86" s="141">
        <f t="shared" si="32"/>
        <v>0</v>
      </c>
      <c r="BH86" s="141">
        <f t="shared" si="33"/>
        <v>0</v>
      </c>
      <c r="BI86" s="141">
        <f t="shared" si="34"/>
        <v>0</v>
      </c>
      <c r="BJ86" s="147">
        <f t="shared" si="35"/>
        <v>0</v>
      </c>
      <c r="BK86" s="141">
        <f t="shared" si="36"/>
        <v>0</v>
      </c>
      <c r="BL86" s="141">
        <f t="shared" si="37"/>
        <v>0</v>
      </c>
      <c r="BM86" s="141">
        <f t="shared" si="38"/>
        <v>0</v>
      </c>
      <c r="BN86" s="141">
        <f t="shared" si="39"/>
        <v>0</v>
      </c>
      <c r="BO86" s="141">
        <f t="shared" si="40"/>
        <v>0</v>
      </c>
      <c r="BP86" s="141">
        <f t="shared" si="41"/>
        <v>0</v>
      </c>
      <c r="BS86" s="153"/>
      <c r="BT86" s="177"/>
      <c r="BU86" s="173"/>
      <c r="BV86" s="174"/>
      <c r="BW86" s="175"/>
      <c r="BX86" s="176"/>
      <c r="BY86" s="175"/>
      <c r="BZ86" s="176"/>
      <c r="CA86" s="176"/>
      <c r="CB86" s="176"/>
      <c r="CC86" s="176"/>
      <c r="CF86" s="166" t="e">
        <f t="shared" si="63"/>
        <v>#REF!</v>
      </c>
      <c r="CG86" s="166" t="s">
        <v>199</v>
      </c>
      <c r="CH86" s="166" t="e">
        <f>#REF!</f>
        <v>#REF!</v>
      </c>
      <c r="CI86" s="178" t="e">
        <f>#REF!</f>
        <v>#REF!</v>
      </c>
      <c r="CJ86" s="179">
        <v>367</v>
      </c>
      <c r="CK86" s="179" t="e">
        <f t="shared" si="64"/>
        <v>#REF!</v>
      </c>
    </row>
    <row r="87" spans="2:89" s="108" customFormat="1" hidden="1">
      <c r="B87" s="109"/>
      <c r="C87" s="141" t="e">
        <f t="shared" si="60"/>
        <v>#NUM!</v>
      </c>
      <c r="D87" s="141">
        <f t="shared" si="2"/>
        <v>0</v>
      </c>
      <c r="E87" s="141" t="str">
        <f>IFERROR(DGET($BV$30:$CC$82,F87,G86:G87),"")</f>
        <v/>
      </c>
      <c r="F87" s="142">
        <f t="shared" si="42"/>
        <v>0</v>
      </c>
      <c r="G87" s="142" t="b">
        <f>IF(Q87&gt;0,IF(AND(S87&gt;0,S87&lt;2),CONCATENATE(Q87," ","0-2"),IF(AND(S87&gt;=2,S87&lt;8),CONCATENATE(Q87," ","2-8"),)))</f>
        <v>0</v>
      </c>
      <c r="H87" s="80">
        <f t="shared" si="3"/>
        <v>0</v>
      </c>
      <c r="I87" s="80" t="str">
        <f t="shared" si="4"/>
        <v/>
      </c>
      <c r="J87" s="76"/>
      <c r="K87" s="76"/>
      <c r="L87" s="76"/>
      <c r="M87" s="80"/>
      <c r="N87" s="79"/>
      <c r="O87" s="148"/>
      <c r="P87" s="77">
        <f t="shared" si="5"/>
        <v>0</v>
      </c>
      <c r="Q87" s="81"/>
      <c r="R87" s="77"/>
      <c r="S87" s="146">
        <f t="shared" si="61"/>
        <v>0</v>
      </c>
      <c r="T87" s="141" t="b">
        <f t="shared" si="43"/>
        <v>0</v>
      </c>
      <c r="U87" s="649">
        <f t="shared" si="7"/>
        <v>0</v>
      </c>
      <c r="V87" s="650"/>
      <c r="W87" s="649">
        <f t="shared" si="8"/>
        <v>0</v>
      </c>
      <c r="X87" s="650"/>
      <c r="Y87" s="649">
        <f t="shared" si="9"/>
        <v>0</v>
      </c>
      <c r="Z87" s="650"/>
      <c r="AA87" s="649">
        <f t="shared" si="10"/>
        <v>0</v>
      </c>
      <c r="AB87" s="650"/>
      <c r="AC87" s="649">
        <f t="shared" si="11"/>
        <v>0</v>
      </c>
      <c r="AD87" s="650"/>
      <c r="AE87" s="649">
        <f t="shared" si="12"/>
        <v>0</v>
      </c>
      <c r="AF87" s="650"/>
      <c r="AG87" s="649">
        <f t="shared" si="13"/>
        <v>0</v>
      </c>
      <c r="AH87" s="650"/>
      <c r="AI87" s="649">
        <f t="shared" si="14"/>
        <v>0</v>
      </c>
      <c r="AJ87" s="650"/>
      <c r="AK87" s="649">
        <f t="shared" si="15"/>
        <v>0</v>
      </c>
      <c r="AL87" s="650"/>
      <c r="AM87" s="649">
        <f t="shared" si="16"/>
        <v>0</v>
      </c>
      <c r="AN87" s="650"/>
      <c r="AO87" s="649">
        <f t="shared" si="17"/>
        <v>0</v>
      </c>
      <c r="AP87" s="650"/>
      <c r="AQ87" s="649">
        <f t="shared" si="18"/>
        <v>0</v>
      </c>
      <c r="AR87" s="650"/>
      <c r="AS87" s="651">
        <f t="shared" si="19"/>
        <v>0</v>
      </c>
      <c r="AT87" s="652"/>
      <c r="AU87" s="141">
        <f t="shared" si="20"/>
        <v>0</v>
      </c>
      <c r="AV87" s="141">
        <f t="shared" si="21"/>
        <v>0</v>
      </c>
      <c r="AW87" s="141">
        <f t="shared" si="22"/>
        <v>0</v>
      </c>
      <c r="AX87" s="141">
        <f t="shared" si="23"/>
        <v>0</v>
      </c>
      <c r="AY87" s="141">
        <f t="shared" si="24"/>
        <v>0</v>
      </c>
      <c r="AZ87" s="141">
        <f t="shared" si="25"/>
        <v>0</v>
      </c>
      <c r="BA87" s="141">
        <f t="shared" si="26"/>
        <v>0</v>
      </c>
      <c r="BB87" s="141">
        <f t="shared" si="27"/>
        <v>0</v>
      </c>
      <c r="BC87" s="141">
        <f t="shared" si="28"/>
        <v>0</v>
      </c>
      <c r="BD87" s="141">
        <f t="shared" si="29"/>
        <v>0</v>
      </c>
      <c r="BE87" s="141">
        <f t="shared" si="30"/>
        <v>0</v>
      </c>
      <c r="BF87" s="141">
        <f t="shared" si="31"/>
        <v>0</v>
      </c>
      <c r="BG87" s="141">
        <f t="shared" si="32"/>
        <v>0</v>
      </c>
      <c r="BH87" s="141">
        <f t="shared" si="33"/>
        <v>0</v>
      </c>
      <c r="BI87" s="141">
        <f t="shared" si="34"/>
        <v>0</v>
      </c>
      <c r="BJ87" s="147">
        <f t="shared" si="35"/>
        <v>0</v>
      </c>
      <c r="BK87" s="141">
        <f t="shared" si="36"/>
        <v>0</v>
      </c>
      <c r="BL87" s="141">
        <f t="shared" si="37"/>
        <v>0</v>
      </c>
      <c r="BM87" s="141">
        <f t="shared" si="38"/>
        <v>0</v>
      </c>
      <c r="BN87" s="141">
        <f t="shared" si="39"/>
        <v>0</v>
      </c>
      <c r="BO87" s="141">
        <f t="shared" si="40"/>
        <v>0</v>
      </c>
      <c r="BP87" s="141">
        <f t="shared" si="41"/>
        <v>0</v>
      </c>
      <c r="BS87" s="153"/>
      <c r="BT87" s="177"/>
      <c r="BU87" s="173"/>
      <c r="BV87" s="174"/>
      <c r="BW87" s="175"/>
      <c r="BX87" s="176"/>
      <c r="BY87" s="175"/>
      <c r="BZ87" s="176"/>
      <c r="CA87" s="176"/>
      <c r="CB87" s="176"/>
      <c r="CC87" s="176"/>
      <c r="CF87" s="166" t="e">
        <f t="shared" si="63"/>
        <v>#REF!</v>
      </c>
      <c r="CG87" s="166" t="s">
        <v>199</v>
      </c>
      <c r="CH87" s="166" t="e">
        <f>#REF!</f>
        <v>#REF!</v>
      </c>
      <c r="CI87" s="178" t="e">
        <f>#REF!</f>
        <v>#REF!</v>
      </c>
      <c r="CJ87" s="179">
        <v>445</v>
      </c>
      <c r="CK87" s="179" t="e">
        <f t="shared" si="64"/>
        <v>#REF!</v>
      </c>
    </row>
    <row r="88" spans="2:89" s="108" customFormat="1" hidden="1">
      <c r="B88" s="109"/>
      <c r="C88" s="141" t="e">
        <f t="shared" si="60"/>
        <v>#NUM!</v>
      </c>
      <c r="D88" s="141">
        <f t="shared" si="2"/>
        <v>0</v>
      </c>
      <c r="E88" s="141"/>
      <c r="F88" s="142">
        <f t="shared" si="42"/>
        <v>0</v>
      </c>
      <c r="G88" s="143" t="s">
        <v>146</v>
      </c>
      <c r="H88" s="80">
        <f t="shared" si="3"/>
        <v>0</v>
      </c>
      <c r="I88" s="80" t="str">
        <f t="shared" si="4"/>
        <v/>
      </c>
      <c r="J88" s="144"/>
      <c r="K88" s="144"/>
      <c r="L88" s="144"/>
      <c r="M88" s="76"/>
      <c r="N88" s="77"/>
      <c r="O88" s="145"/>
      <c r="P88" s="77">
        <f t="shared" si="5"/>
        <v>0</v>
      </c>
      <c r="Q88" s="78"/>
      <c r="R88" s="79"/>
      <c r="S88" s="146">
        <f t="shared" si="61"/>
        <v>0</v>
      </c>
      <c r="T88" s="141" t="b">
        <f t="shared" si="43"/>
        <v>0</v>
      </c>
      <c r="U88" s="649">
        <f t="shared" si="7"/>
        <v>0</v>
      </c>
      <c r="V88" s="650"/>
      <c r="W88" s="649">
        <f t="shared" si="8"/>
        <v>0</v>
      </c>
      <c r="X88" s="650"/>
      <c r="Y88" s="649">
        <f t="shared" si="9"/>
        <v>0</v>
      </c>
      <c r="Z88" s="650"/>
      <c r="AA88" s="649">
        <f t="shared" si="10"/>
        <v>0</v>
      </c>
      <c r="AB88" s="650"/>
      <c r="AC88" s="649">
        <f t="shared" si="11"/>
        <v>0</v>
      </c>
      <c r="AD88" s="650"/>
      <c r="AE88" s="649">
        <f t="shared" si="12"/>
        <v>0</v>
      </c>
      <c r="AF88" s="650"/>
      <c r="AG88" s="649">
        <f t="shared" si="13"/>
        <v>0</v>
      </c>
      <c r="AH88" s="650"/>
      <c r="AI88" s="649">
        <f t="shared" si="14"/>
        <v>0</v>
      </c>
      <c r="AJ88" s="650"/>
      <c r="AK88" s="649">
        <f t="shared" si="15"/>
        <v>0</v>
      </c>
      <c r="AL88" s="650"/>
      <c r="AM88" s="649">
        <f t="shared" si="16"/>
        <v>0</v>
      </c>
      <c r="AN88" s="650"/>
      <c r="AO88" s="649">
        <f t="shared" si="17"/>
        <v>0</v>
      </c>
      <c r="AP88" s="650"/>
      <c r="AQ88" s="649">
        <f t="shared" si="18"/>
        <v>0</v>
      </c>
      <c r="AR88" s="650"/>
      <c r="AS88" s="651">
        <f t="shared" si="19"/>
        <v>0</v>
      </c>
      <c r="AT88" s="652"/>
      <c r="AU88" s="141">
        <f t="shared" si="20"/>
        <v>0</v>
      </c>
      <c r="AV88" s="141">
        <f t="shared" si="21"/>
        <v>0</v>
      </c>
      <c r="AW88" s="141">
        <f t="shared" si="22"/>
        <v>0</v>
      </c>
      <c r="AX88" s="141">
        <f t="shared" si="23"/>
        <v>0</v>
      </c>
      <c r="AY88" s="141">
        <f t="shared" si="24"/>
        <v>0</v>
      </c>
      <c r="AZ88" s="141">
        <f t="shared" si="25"/>
        <v>0</v>
      </c>
      <c r="BA88" s="141">
        <f t="shared" si="26"/>
        <v>0</v>
      </c>
      <c r="BB88" s="141">
        <f t="shared" si="27"/>
        <v>0</v>
      </c>
      <c r="BC88" s="141">
        <f t="shared" si="28"/>
        <v>0</v>
      </c>
      <c r="BD88" s="141">
        <f t="shared" si="29"/>
        <v>0</v>
      </c>
      <c r="BE88" s="141">
        <f t="shared" si="30"/>
        <v>0</v>
      </c>
      <c r="BF88" s="141">
        <f t="shared" si="31"/>
        <v>0</v>
      </c>
      <c r="BG88" s="141">
        <f t="shared" si="32"/>
        <v>0</v>
      </c>
      <c r="BH88" s="141">
        <f t="shared" si="33"/>
        <v>0</v>
      </c>
      <c r="BI88" s="141">
        <f t="shared" si="34"/>
        <v>0</v>
      </c>
      <c r="BJ88" s="147">
        <f t="shared" si="35"/>
        <v>0</v>
      </c>
      <c r="BK88" s="141">
        <f t="shared" si="36"/>
        <v>0</v>
      </c>
      <c r="BL88" s="141">
        <f t="shared" si="37"/>
        <v>0</v>
      </c>
      <c r="BM88" s="141">
        <f t="shared" si="38"/>
        <v>0</v>
      </c>
      <c r="BN88" s="141">
        <f t="shared" si="39"/>
        <v>0</v>
      </c>
      <c r="BO88" s="141">
        <f t="shared" si="40"/>
        <v>0</v>
      </c>
      <c r="BP88" s="141">
        <f t="shared" si="41"/>
        <v>0</v>
      </c>
      <c r="BS88" s="153"/>
      <c r="BT88" s="177"/>
      <c r="BU88" s="173"/>
      <c r="BV88" s="174"/>
      <c r="BW88" s="175"/>
      <c r="BX88" s="176"/>
      <c r="BY88" s="175"/>
      <c r="BZ88" s="176"/>
      <c r="CA88" s="176"/>
      <c r="CB88" s="176"/>
      <c r="CC88" s="176"/>
      <c r="CF88" s="166" t="e">
        <f t="shared" si="63"/>
        <v>#REF!</v>
      </c>
      <c r="CG88" s="166" t="s">
        <v>199</v>
      </c>
      <c r="CH88" s="166" t="e">
        <f>#REF!</f>
        <v>#REF!</v>
      </c>
      <c r="CI88" s="178" t="e">
        <f>#REF!</f>
        <v>#REF!</v>
      </c>
      <c r="CJ88" s="179">
        <v>545</v>
      </c>
      <c r="CK88" s="179" t="e">
        <f t="shared" si="64"/>
        <v>#REF!</v>
      </c>
    </row>
    <row r="89" spans="2:89" s="108" customFormat="1" hidden="1">
      <c r="B89" s="109"/>
      <c r="C89" s="141" t="e">
        <f t="shared" si="60"/>
        <v>#NUM!</v>
      </c>
      <c r="D89" s="141">
        <f t="shared" si="2"/>
        <v>0</v>
      </c>
      <c r="E89" s="141" t="str">
        <f>IFERROR(DGET($BV$30:$CC$82,F89,G88:G89),"")</f>
        <v/>
      </c>
      <c r="F89" s="142">
        <f t="shared" si="42"/>
        <v>0</v>
      </c>
      <c r="G89" s="142" t="b">
        <f>IF(Q89&gt;0,IF(AND(S89&gt;0,S89&lt;2),CONCATENATE(Q89," ","0-2"),IF(AND(S89&gt;=2,S89&lt;8),CONCATENATE(Q89," ","2-8"),)))</f>
        <v>0</v>
      </c>
      <c r="H89" s="80">
        <f t="shared" si="3"/>
        <v>0</v>
      </c>
      <c r="I89" s="80" t="str">
        <f t="shared" si="4"/>
        <v/>
      </c>
      <c r="J89" s="76"/>
      <c r="K89" s="76"/>
      <c r="L89" s="76"/>
      <c r="M89" s="80"/>
      <c r="N89" s="79"/>
      <c r="O89" s="148"/>
      <c r="P89" s="77">
        <f t="shared" si="5"/>
        <v>0</v>
      </c>
      <c r="Q89" s="81"/>
      <c r="R89" s="77"/>
      <c r="S89" s="146">
        <f t="shared" si="61"/>
        <v>0</v>
      </c>
      <c r="T89" s="141" t="b">
        <f t="shared" si="43"/>
        <v>0</v>
      </c>
      <c r="U89" s="649">
        <f t="shared" si="7"/>
        <v>0</v>
      </c>
      <c r="V89" s="650"/>
      <c r="W89" s="649">
        <f t="shared" si="8"/>
        <v>0</v>
      </c>
      <c r="X89" s="650"/>
      <c r="Y89" s="649">
        <f t="shared" si="9"/>
        <v>0</v>
      </c>
      <c r="Z89" s="650"/>
      <c r="AA89" s="649">
        <f t="shared" si="10"/>
        <v>0</v>
      </c>
      <c r="AB89" s="650"/>
      <c r="AC89" s="649">
        <f t="shared" si="11"/>
        <v>0</v>
      </c>
      <c r="AD89" s="650"/>
      <c r="AE89" s="649">
        <f t="shared" si="12"/>
        <v>0</v>
      </c>
      <c r="AF89" s="650"/>
      <c r="AG89" s="649">
        <f t="shared" si="13"/>
        <v>0</v>
      </c>
      <c r="AH89" s="650"/>
      <c r="AI89" s="649">
        <f t="shared" si="14"/>
        <v>0</v>
      </c>
      <c r="AJ89" s="650"/>
      <c r="AK89" s="649">
        <f t="shared" si="15"/>
        <v>0</v>
      </c>
      <c r="AL89" s="650"/>
      <c r="AM89" s="649">
        <f t="shared" si="16"/>
        <v>0</v>
      </c>
      <c r="AN89" s="650"/>
      <c r="AO89" s="649">
        <f t="shared" si="17"/>
        <v>0</v>
      </c>
      <c r="AP89" s="650"/>
      <c r="AQ89" s="649">
        <f t="shared" si="18"/>
        <v>0</v>
      </c>
      <c r="AR89" s="650"/>
      <c r="AS89" s="651">
        <f t="shared" si="19"/>
        <v>0</v>
      </c>
      <c r="AT89" s="652"/>
      <c r="AU89" s="141">
        <f t="shared" si="20"/>
        <v>0</v>
      </c>
      <c r="AV89" s="141">
        <f t="shared" si="21"/>
        <v>0</v>
      </c>
      <c r="AW89" s="141">
        <f t="shared" si="22"/>
        <v>0</v>
      </c>
      <c r="AX89" s="141">
        <f t="shared" si="23"/>
        <v>0</v>
      </c>
      <c r="AY89" s="141">
        <f t="shared" si="24"/>
        <v>0</v>
      </c>
      <c r="AZ89" s="141">
        <f t="shared" si="25"/>
        <v>0</v>
      </c>
      <c r="BA89" s="141">
        <f t="shared" si="26"/>
        <v>0</v>
      </c>
      <c r="BB89" s="141">
        <f t="shared" si="27"/>
        <v>0</v>
      </c>
      <c r="BC89" s="141">
        <f t="shared" si="28"/>
        <v>0</v>
      </c>
      <c r="BD89" s="141">
        <f t="shared" si="29"/>
        <v>0</v>
      </c>
      <c r="BE89" s="141">
        <f t="shared" si="30"/>
        <v>0</v>
      </c>
      <c r="BF89" s="141">
        <f t="shared" si="31"/>
        <v>0</v>
      </c>
      <c r="BG89" s="141">
        <f t="shared" si="32"/>
        <v>0</v>
      </c>
      <c r="BH89" s="141">
        <f t="shared" si="33"/>
        <v>0</v>
      </c>
      <c r="BI89" s="141">
        <f t="shared" si="34"/>
        <v>0</v>
      </c>
      <c r="BJ89" s="147">
        <f t="shared" si="35"/>
        <v>0</v>
      </c>
      <c r="BK89" s="141">
        <f t="shared" si="36"/>
        <v>0</v>
      </c>
      <c r="BL89" s="141">
        <f t="shared" si="37"/>
        <v>0</v>
      </c>
      <c r="BM89" s="141">
        <f t="shared" si="38"/>
        <v>0</v>
      </c>
      <c r="BN89" s="141">
        <f t="shared" si="39"/>
        <v>0</v>
      </c>
      <c r="BO89" s="141">
        <f t="shared" si="40"/>
        <v>0</v>
      </c>
      <c r="BP89" s="141">
        <f t="shared" si="41"/>
        <v>0</v>
      </c>
      <c r="BS89" s="153"/>
      <c r="BT89" s="177"/>
      <c r="BU89" s="173"/>
      <c r="BV89" s="174"/>
      <c r="BW89" s="175"/>
      <c r="BX89" s="176"/>
      <c r="BY89" s="175"/>
      <c r="BZ89" s="176"/>
      <c r="CA89" s="176"/>
      <c r="CB89" s="176"/>
      <c r="CC89" s="176"/>
      <c r="CF89" s="166" t="e">
        <f t="shared" si="63"/>
        <v>#REF!</v>
      </c>
      <c r="CG89" s="166" t="s">
        <v>199</v>
      </c>
      <c r="CH89" s="166" t="e">
        <f>#REF!</f>
        <v>#REF!</v>
      </c>
      <c r="CI89" s="178" t="e">
        <f>#REF!</f>
        <v>#REF!</v>
      </c>
      <c r="CJ89" s="179">
        <v>717</v>
      </c>
      <c r="CK89" s="179" t="e">
        <f t="shared" si="64"/>
        <v>#REF!</v>
      </c>
    </row>
    <row r="90" spans="2:89" s="108" customFormat="1" hidden="1">
      <c r="B90" s="109"/>
      <c r="C90" s="141" t="e">
        <f t="shared" si="60"/>
        <v>#NUM!</v>
      </c>
      <c r="D90" s="141">
        <f t="shared" si="2"/>
        <v>0</v>
      </c>
      <c r="E90" s="141"/>
      <c r="F90" s="142">
        <f t="shared" si="42"/>
        <v>0</v>
      </c>
      <c r="G90" s="143" t="s">
        <v>146</v>
      </c>
      <c r="H90" s="80">
        <f t="shared" si="3"/>
        <v>0</v>
      </c>
      <c r="I90" s="80" t="str">
        <f t="shared" si="4"/>
        <v/>
      </c>
      <c r="J90" s="144"/>
      <c r="K90" s="144"/>
      <c r="L90" s="144"/>
      <c r="M90" s="76"/>
      <c r="N90" s="77"/>
      <c r="O90" s="145"/>
      <c r="P90" s="77">
        <f t="shared" si="5"/>
        <v>0</v>
      </c>
      <c r="Q90" s="78"/>
      <c r="R90" s="79"/>
      <c r="S90" s="146">
        <f t="shared" si="61"/>
        <v>0</v>
      </c>
      <c r="T90" s="141" t="b">
        <f t="shared" si="43"/>
        <v>0</v>
      </c>
      <c r="U90" s="649">
        <f t="shared" si="7"/>
        <v>0</v>
      </c>
      <c r="V90" s="650"/>
      <c r="W90" s="649">
        <f t="shared" si="8"/>
        <v>0</v>
      </c>
      <c r="X90" s="650"/>
      <c r="Y90" s="649">
        <f t="shared" si="9"/>
        <v>0</v>
      </c>
      <c r="Z90" s="650"/>
      <c r="AA90" s="649">
        <f t="shared" si="10"/>
        <v>0</v>
      </c>
      <c r="AB90" s="650"/>
      <c r="AC90" s="649">
        <f t="shared" si="11"/>
        <v>0</v>
      </c>
      <c r="AD90" s="650"/>
      <c r="AE90" s="649">
        <f t="shared" si="12"/>
        <v>0</v>
      </c>
      <c r="AF90" s="650"/>
      <c r="AG90" s="649">
        <f t="shared" si="13"/>
        <v>0</v>
      </c>
      <c r="AH90" s="650"/>
      <c r="AI90" s="649">
        <f t="shared" si="14"/>
        <v>0</v>
      </c>
      <c r="AJ90" s="650"/>
      <c r="AK90" s="649">
        <f t="shared" si="15"/>
        <v>0</v>
      </c>
      <c r="AL90" s="650"/>
      <c r="AM90" s="649">
        <f t="shared" si="16"/>
        <v>0</v>
      </c>
      <c r="AN90" s="650"/>
      <c r="AO90" s="649">
        <f t="shared" si="17"/>
        <v>0</v>
      </c>
      <c r="AP90" s="650"/>
      <c r="AQ90" s="649">
        <f t="shared" si="18"/>
        <v>0</v>
      </c>
      <c r="AR90" s="650"/>
      <c r="AS90" s="651">
        <f t="shared" si="19"/>
        <v>0</v>
      </c>
      <c r="AT90" s="652"/>
      <c r="AU90" s="141">
        <f t="shared" si="20"/>
        <v>0</v>
      </c>
      <c r="AV90" s="141">
        <f t="shared" si="21"/>
        <v>0</v>
      </c>
      <c r="AW90" s="141">
        <f t="shared" si="22"/>
        <v>0</v>
      </c>
      <c r="AX90" s="141">
        <f t="shared" si="23"/>
        <v>0</v>
      </c>
      <c r="AY90" s="141">
        <f t="shared" si="24"/>
        <v>0</v>
      </c>
      <c r="AZ90" s="141">
        <f t="shared" si="25"/>
        <v>0</v>
      </c>
      <c r="BA90" s="141">
        <f t="shared" si="26"/>
        <v>0</v>
      </c>
      <c r="BB90" s="141">
        <f t="shared" si="27"/>
        <v>0</v>
      </c>
      <c r="BC90" s="141">
        <f t="shared" si="28"/>
        <v>0</v>
      </c>
      <c r="BD90" s="141">
        <f t="shared" si="29"/>
        <v>0</v>
      </c>
      <c r="BE90" s="141">
        <f t="shared" si="30"/>
        <v>0</v>
      </c>
      <c r="BF90" s="141">
        <f t="shared" si="31"/>
        <v>0</v>
      </c>
      <c r="BG90" s="141">
        <f t="shared" si="32"/>
        <v>0</v>
      </c>
      <c r="BH90" s="141">
        <f t="shared" si="33"/>
        <v>0</v>
      </c>
      <c r="BI90" s="141">
        <f t="shared" si="34"/>
        <v>0</v>
      </c>
      <c r="BJ90" s="147">
        <f t="shared" si="35"/>
        <v>0</v>
      </c>
      <c r="BK90" s="141">
        <f t="shared" si="36"/>
        <v>0</v>
      </c>
      <c r="BL90" s="141">
        <f t="shared" si="37"/>
        <v>0</v>
      </c>
      <c r="BM90" s="141">
        <f t="shared" si="38"/>
        <v>0</v>
      </c>
      <c r="BN90" s="141">
        <f t="shared" si="39"/>
        <v>0</v>
      </c>
      <c r="BO90" s="141">
        <f t="shared" si="40"/>
        <v>0</v>
      </c>
      <c r="BP90" s="141">
        <f t="shared" si="41"/>
        <v>0</v>
      </c>
      <c r="BS90" s="153"/>
      <c r="BT90" s="177"/>
      <c r="BU90" s="173"/>
      <c r="BV90" s="174"/>
      <c r="BW90" s="175"/>
      <c r="BX90" s="176"/>
      <c r="BY90" s="175"/>
      <c r="BZ90" s="176"/>
      <c r="CA90" s="176"/>
      <c r="CB90" s="176"/>
      <c r="CC90" s="176"/>
      <c r="CF90" s="166" t="e">
        <f t="shared" si="63"/>
        <v>#REF!</v>
      </c>
      <c r="CG90" s="166" t="s">
        <v>199</v>
      </c>
      <c r="CH90" s="166" t="e">
        <f>#REF!</f>
        <v>#REF!</v>
      </c>
      <c r="CI90" s="178" t="e">
        <f>#REF!</f>
        <v>#REF!</v>
      </c>
      <c r="CJ90" s="179">
        <v>900</v>
      </c>
      <c r="CK90" s="179" t="e">
        <f t="shared" si="64"/>
        <v>#REF!</v>
      </c>
    </row>
    <row r="91" spans="2:89" s="108" customFormat="1" hidden="1">
      <c r="B91" s="109"/>
      <c r="C91" s="141" t="e">
        <f t="shared" si="60"/>
        <v>#NUM!</v>
      </c>
      <c r="D91" s="141">
        <f t="shared" si="2"/>
        <v>0</v>
      </c>
      <c r="E91" s="141" t="str">
        <f>IFERROR(DGET($BV$30:$CC$82,F91,G90:G91),"")</f>
        <v/>
      </c>
      <c r="F91" s="142">
        <f t="shared" si="42"/>
        <v>0</v>
      </c>
      <c r="G91" s="142" t="b">
        <f>IF(Q91&gt;0,IF(AND(S91&gt;0,S91&lt;2),CONCATENATE(Q91," ","0-2"),IF(AND(S91&gt;=2,S91&lt;8),CONCATENATE(Q91," ","2-8"),)))</f>
        <v>0</v>
      </c>
      <c r="H91" s="80">
        <f t="shared" si="3"/>
        <v>0</v>
      </c>
      <c r="I91" s="80" t="str">
        <f t="shared" si="4"/>
        <v/>
      </c>
      <c r="J91" s="76"/>
      <c r="K91" s="76"/>
      <c r="L91" s="76"/>
      <c r="M91" s="80"/>
      <c r="N91" s="79"/>
      <c r="O91" s="148"/>
      <c r="P91" s="77">
        <f t="shared" si="5"/>
        <v>0</v>
      </c>
      <c r="Q91" s="81"/>
      <c r="R91" s="77"/>
      <c r="S91" s="146">
        <f t="shared" si="61"/>
        <v>0</v>
      </c>
      <c r="T91" s="141" t="b">
        <f t="shared" si="43"/>
        <v>0</v>
      </c>
      <c r="U91" s="649">
        <f t="shared" si="7"/>
        <v>0</v>
      </c>
      <c r="V91" s="650"/>
      <c r="W91" s="649">
        <f t="shared" si="8"/>
        <v>0</v>
      </c>
      <c r="X91" s="650"/>
      <c r="Y91" s="649">
        <f t="shared" si="9"/>
        <v>0</v>
      </c>
      <c r="Z91" s="650"/>
      <c r="AA91" s="649">
        <f t="shared" si="10"/>
        <v>0</v>
      </c>
      <c r="AB91" s="650"/>
      <c r="AC91" s="649">
        <f t="shared" si="11"/>
        <v>0</v>
      </c>
      <c r="AD91" s="650"/>
      <c r="AE91" s="649">
        <f t="shared" si="12"/>
        <v>0</v>
      </c>
      <c r="AF91" s="650"/>
      <c r="AG91" s="649">
        <f t="shared" si="13"/>
        <v>0</v>
      </c>
      <c r="AH91" s="650"/>
      <c r="AI91" s="649">
        <f t="shared" si="14"/>
        <v>0</v>
      </c>
      <c r="AJ91" s="650"/>
      <c r="AK91" s="649">
        <f t="shared" si="15"/>
        <v>0</v>
      </c>
      <c r="AL91" s="650"/>
      <c r="AM91" s="649">
        <f t="shared" si="16"/>
        <v>0</v>
      </c>
      <c r="AN91" s="650"/>
      <c r="AO91" s="649">
        <f t="shared" si="17"/>
        <v>0</v>
      </c>
      <c r="AP91" s="650"/>
      <c r="AQ91" s="649">
        <f t="shared" si="18"/>
        <v>0</v>
      </c>
      <c r="AR91" s="650"/>
      <c r="AS91" s="651">
        <f t="shared" si="19"/>
        <v>0</v>
      </c>
      <c r="AT91" s="652"/>
      <c r="AU91" s="141">
        <f t="shared" si="20"/>
        <v>0</v>
      </c>
      <c r="AV91" s="141">
        <f t="shared" si="21"/>
        <v>0</v>
      </c>
      <c r="AW91" s="141">
        <f t="shared" si="22"/>
        <v>0</v>
      </c>
      <c r="AX91" s="141">
        <f t="shared" si="23"/>
        <v>0</v>
      </c>
      <c r="AY91" s="141">
        <f t="shared" si="24"/>
        <v>0</v>
      </c>
      <c r="AZ91" s="141">
        <f t="shared" si="25"/>
        <v>0</v>
      </c>
      <c r="BA91" s="141">
        <f t="shared" si="26"/>
        <v>0</v>
      </c>
      <c r="BB91" s="141">
        <f t="shared" si="27"/>
        <v>0</v>
      </c>
      <c r="BC91" s="141">
        <f t="shared" si="28"/>
        <v>0</v>
      </c>
      <c r="BD91" s="141">
        <f t="shared" si="29"/>
        <v>0</v>
      </c>
      <c r="BE91" s="141">
        <f t="shared" si="30"/>
        <v>0</v>
      </c>
      <c r="BF91" s="141">
        <f t="shared" si="31"/>
        <v>0</v>
      </c>
      <c r="BG91" s="141">
        <f t="shared" si="32"/>
        <v>0</v>
      </c>
      <c r="BH91" s="141">
        <f t="shared" si="33"/>
        <v>0</v>
      </c>
      <c r="BI91" s="141">
        <f t="shared" si="34"/>
        <v>0</v>
      </c>
      <c r="BJ91" s="147">
        <f t="shared" si="35"/>
        <v>0</v>
      </c>
      <c r="BK91" s="141">
        <f t="shared" si="36"/>
        <v>0</v>
      </c>
      <c r="BL91" s="141">
        <f t="shared" si="37"/>
        <v>0</v>
      </c>
      <c r="BM91" s="141">
        <f t="shared" si="38"/>
        <v>0</v>
      </c>
      <c r="BN91" s="141">
        <f t="shared" si="39"/>
        <v>0</v>
      </c>
      <c r="BO91" s="141">
        <f t="shared" si="40"/>
        <v>0</v>
      </c>
      <c r="BP91" s="141">
        <f t="shared" si="41"/>
        <v>0</v>
      </c>
      <c r="BS91" s="153"/>
      <c r="BT91" s="177"/>
      <c r="BU91" s="173"/>
      <c r="BV91" s="174"/>
      <c r="BW91" s="175"/>
      <c r="BX91" s="176"/>
      <c r="BY91" s="175"/>
      <c r="BZ91" s="176"/>
      <c r="CA91" s="176"/>
      <c r="CB91" s="176"/>
      <c r="CC91" s="176"/>
      <c r="CF91" s="166" t="e">
        <f t="shared" si="63"/>
        <v>#REF!</v>
      </c>
      <c r="CG91" s="166" t="s">
        <v>199</v>
      </c>
      <c r="CH91" s="166" t="e">
        <f>#REF!</f>
        <v>#REF!</v>
      </c>
      <c r="CI91" s="178" t="e">
        <f>#REF!</f>
        <v>#REF!</v>
      </c>
      <c r="CJ91" s="179">
        <v>1044</v>
      </c>
      <c r="CK91" s="179" t="e">
        <f t="shared" si="64"/>
        <v>#REF!</v>
      </c>
    </row>
    <row r="92" spans="2:89" s="108" customFormat="1" hidden="1">
      <c r="B92" s="109"/>
      <c r="C92" s="141" t="e">
        <f t="shared" si="60"/>
        <v>#NUM!</v>
      </c>
      <c r="D92" s="141">
        <f t="shared" ref="D92:D155" si="65">IFERROR(IF(SEARCH("pv",M92)=1,IF(M92&gt;0,1/COUNTIF(M:M,M92),0),0),0)</f>
        <v>0</v>
      </c>
      <c r="E92" s="141"/>
      <c r="F92" s="142">
        <f t="shared" si="42"/>
        <v>0</v>
      </c>
      <c r="G92" s="143" t="s">
        <v>146</v>
      </c>
      <c r="H92" s="80">
        <f t="shared" ref="H92:H155" si="66">IFERROR(VLOOKUP(I92,$CF$75:$CK$104,6,0),0)</f>
        <v>0</v>
      </c>
      <c r="I92" s="80" t="str">
        <f t="shared" si="4"/>
        <v/>
      </c>
      <c r="J92" s="144"/>
      <c r="K92" s="144"/>
      <c r="L92" s="144"/>
      <c r="M92" s="76"/>
      <c r="N92" s="77"/>
      <c r="O92" s="145"/>
      <c r="P92" s="77">
        <f t="shared" si="5"/>
        <v>0</v>
      </c>
      <c r="Q92" s="78"/>
      <c r="R92" s="79"/>
      <c r="S92" s="146">
        <f t="shared" si="61"/>
        <v>0</v>
      </c>
      <c r="T92" s="141" t="b">
        <f t="shared" si="43"/>
        <v>0</v>
      </c>
      <c r="U92" s="649">
        <f t="shared" ref="U92:U155" si="67">IFERROR(IF(L92="SECO",IF(AND(S92&gt;$U$27,S92&lt;=$V$27),(P92*S92*E92),IF(S92&gt;=$V$27,(($V$27-$U$27)*P92*E92),0))*$BU$17,0),0)</f>
        <v>0</v>
      </c>
      <c r="V92" s="650"/>
      <c r="W92" s="649">
        <f t="shared" ref="W92:W155" si="68">IFERROR(IF(L92="SECO",IF(AND(S92&gt;$W$27,S92&lt;=$X$27),(P92*(S92-$V$27)*E92),IF(S92&gt;=$X$27,(($X$27-$W$27)*P92*E92),0))*$BU$17,0),0)</f>
        <v>0</v>
      </c>
      <c r="X92" s="650"/>
      <c r="Y92" s="649">
        <f t="shared" ref="Y92:Y155" si="69">IFERROR(IF(L92="SECO",IF(AND(S92&gt;$Y$27,S92&lt;=$Z$27),(P92*(S92-$X$27)*E92),IF(S92&gt;=$Z$27,(($Z$27-$Y$27)*P92*E92),0))*$BU$17,0),0)</f>
        <v>0</v>
      </c>
      <c r="Z92" s="650"/>
      <c r="AA92" s="649">
        <f t="shared" ref="AA92:AA155" si="70">IFERROR(IF(L92="SECO",IF(AND(S92&gt;$AA$27,S92&lt;=$AB$27),(P92*S92*E92),IF(S92&gt;=$AB$27,(($AB$27-$AA$27)*P92*E92),0))*$BU$19,0),0)</f>
        <v>0</v>
      </c>
      <c r="AB92" s="650"/>
      <c r="AC92" s="649">
        <f t="shared" ref="AC92:AC155" si="71">IFERROR(IF(L92="SECO",IF(AND(S92&gt;$AC$27,S92&lt;=$AD$27),(P92*(S92-$AB$27)*E92),IF(S92&gt;=$AD$27,(($AD$27-$AC$27)*P92*E92),0))*$BU$19,0),0)</f>
        <v>0</v>
      </c>
      <c r="AD92" s="650"/>
      <c r="AE92" s="649">
        <f t="shared" ref="AE92:AE155" si="72">IFERROR(IF(L92="SECO",IF(AND(S92&gt;$AE$27,S92&lt;=$AF$27),(P92*(S92-$AD$27)*E92),IF(S92&gt;=$AF$27,(($AF$27-$AE$27)*P92*E92),0))*$BU$19,0),0)</f>
        <v>0</v>
      </c>
      <c r="AF92" s="650"/>
      <c r="AG92" s="649">
        <f t="shared" ref="AG92:AG155" si="73">IFERROR(IF(L92="SECO",IF(AND(S92&gt;$AG$27,S92&lt;=$AH$27),(P92*(S92-$AF$27)*E92),IF(S92&gt;=$AH$27,(($AH$27-$AG$27)*P92*E92),0))*($BU$19+$BU$17),0),0)</f>
        <v>0</v>
      </c>
      <c r="AH92" s="650"/>
      <c r="AI92" s="649">
        <f t="shared" ref="AI92:AI155" si="74">IFERROR(IF(L92="ÁGUA",IF(AND(S92&gt;$AI$27,S92&lt;=$AJ$27),(P92*S92*E92),IF(S92&gt;=$AJ$27,(($AJ$27-$AI$27)*P92*E92),0))*$BU$17,0),0)</f>
        <v>0</v>
      </c>
      <c r="AJ92" s="650"/>
      <c r="AK92" s="649">
        <f t="shared" ref="AK92:AK155" si="75">IFERROR(IF(L92="ÁGUA",IF(AND(S92&gt;$AK$27,S92&lt;=$AL$27),(P92*(S92-$AJ$27)*E92),IF(S92&gt;=$AL$27,(($AL$27-$AK$27)*P92*E92),0))*$BU$17,0),0)</f>
        <v>0</v>
      </c>
      <c r="AL92" s="650"/>
      <c r="AM92" s="649">
        <f t="shared" ref="AM92:AM155" si="76">IFERROR(IF(L92="ÁGUA",IF(AND(S92&gt;$AM$27,S92&lt;=$AN$27),(P92*S92*E92),IF(S92&gt;=$AN$27,(($AN$27-$AM$27)*P92*E92),0))*$BU$19,0),0)</f>
        <v>0</v>
      </c>
      <c r="AN92" s="650"/>
      <c r="AO92" s="649">
        <f t="shared" ref="AO92:AO155" si="77">IFERROR(IF(L92="ÁGUA",IF(AND(S92&gt;$AO$27,S92&lt;=$AP$27),(P92*(S92-$AN$27)*E92),IF(S92&gt;=$AP$27,(($AP$27-$AO$27)*P92*E92),0))*$BU$19,0),0)</f>
        <v>0</v>
      </c>
      <c r="AP92" s="650"/>
      <c r="AQ92" s="649">
        <f t="shared" ref="AQ92:AQ155" si="78">IFERROR(IF(L92="ÁGUA",IF(AND(S92&gt;$AQ$27,S92&lt;=$AR$27),(P92*(S92-$AP$27)*E92),IF(S92&gt;=$AR$27,(($AR$27-$AQ$27)*P92*E92),0))*($BU$19+$BU$17),0),0)</f>
        <v>0</v>
      </c>
      <c r="AR92" s="650"/>
      <c r="AS92" s="651">
        <f t="shared" ref="AS92:AS155" si="79">IFERROR(IF(L92="ÁGUA",IF(AND(S92&gt;$AS$27,S92&lt;=$AT$27),(P92*(S92-$AR$27)*E92),IF(S92&gt;=$AT$27,(($AT$27-$AS$27)*P92*E92),0))*($BU$19+$BU$17),0),0)</f>
        <v>0</v>
      </c>
      <c r="AT92" s="652"/>
      <c r="AU92" s="141">
        <f t="shared" si="20"/>
        <v>0</v>
      </c>
      <c r="AV92" s="141">
        <f t="shared" si="21"/>
        <v>0</v>
      </c>
      <c r="AW92" s="141">
        <f t="shared" si="22"/>
        <v>0</v>
      </c>
      <c r="AX92" s="141">
        <f t="shared" si="23"/>
        <v>0</v>
      </c>
      <c r="AY92" s="141">
        <f t="shared" si="24"/>
        <v>0</v>
      </c>
      <c r="AZ92" s="141">
        <f t="shared" si="25"/>
        <v>0</v>
      </c>
      <c r="BA92" s="141">
        <f t="shared" si="26"/>
        <v>0</v>
      </c>
      <c r="BB92" s="141">
        <f t="shared" si="27"/>
        <v>0</v>
      </c>
      <c r="BC92" s="141">
        <f t="shared" si="28"/>
        <v>0</v>
      </c>
      <c r="BD92" s="141">
        <f t="shared" si="29"/>
        <v>0</v>
      </c>
      <c r="BE92" s="141">
        <f t="shared" si="30"/>
        <v>0</v>
      </c>
      <c r="BF92" s="141">
        <f t="shared" si="31"/>
        <v>0</v>
      </c>
      <c r="BG92" s="141">
        <f t="shared" ref="BG92:BG155" si="80">IF(L92="água",(VLOOKUP(Q92,$CF$31:$CG$52,2,0)*E92*P92),0)</f>
        <v>0</v>
      </c>
      <c r="BH92" s="141">
        <f t="shared" ref="BH92:BH155" si="81">IF(L92="água",(VLOOKUP(Q92,$CH$31:$CI$52,2,0)*E92*P92),0)</f>
        <v>0</v>
      </c>
      <c r="BI92" s="141">
        <f t="shared" si="34"/>
        <v>0</v>
      </c>
      <c r="BJ92" s="147">
        <f t="shared" ref="BJ92:BJ155" si="82">IFERROR(VLOOKUP(I92,$CF$75:$CI$104,4,0),0)</f>
        <v>0</v>
      </c>
      <c r="BK92" s="141">
        <f t="shared" ref="BK92:BK155" si="83">IF(J92="BSTC",VLOOKUP(Q92,$CF$58:$CG$70,2,0)*P92,0)</f>
        <v>0</v>
      </c>
      <c r="BL92" s="141">
        <f t="shared" ref="BL92:BL155" si="84">IF(J92="BSTC",VLOOKUP(Q92,$CH$58:$CI$70,2,0)*P92,0)</f>
        <v>0</v>
      </c>
      <c r="BM92" s="141">
        <f t="shared" ref="BM92:BM155" si="85">IF(K92=$BM$27,P92*E92,0)</f>
        <v>0</v>
      </c>
      <c r="BN92" s="141">
        <f t="shared" ref="BN92:BN155" si="86">IF(K92=$BN$27,P92*E92,0)</f>
        <v>0</v>
      </c>
      <c r="BO92" s="141">
        <f t="shared" ref="BO92:BO155" si="87">IF(K92=$BO$27,P92*E92,0)</f>
        <v>0</v>
      </c>
      <c r="BP92" s="141">
        <f t="shared" ref="BP92:BP155" si="88">IF(K92=$BP$27,P92*E92,0)</f>
        <v>0</v>
      </c>
      <c r="BS92" s="153"/>
      <c r="BT92" s="177"/>
      <c r="BU92" s="173"/>
      <c r="BV92" s="174"/>
      <c r="BW92" s="175"/>
      <c r="BX92" s="176"/>
      <c r="BY92" s="175"/>
      <c r="BZ92" s="176"/>
      <c r="CA92" s="176"/>
      <c r="CB92" s="176"/>
      <c r="CC92" s="176"/>
      <c r="CF92" s="166" t="e">
        <f t="shared" si="63"/>
        <v>#REF!</v>
      </c>
      <c r="CG92" s="166" t="s">
        <v>199</v>
      </c>
      <c r="CH92" s="166" t="e">
        <f>#REF!</f>
        <v>#REF!</v>
      </c>
      <c r="CI92" s="178" t="e">
        <f>#REF!</f>
        <v>#REF!</v>
      </c>
      <c r="CJ92" s="179">
        <v>1221</v>
      </c>
      <c r="CK92" s="179" t="e">
        <f t="shared" si="64"/>
        <v>#REF!</v>
      </c>
    </row>
    <row r="93" spans="2:89" s="108" customFormat="1" hidden="1">
      <c r="B93" s="109"/>
      <c r="C93" s="141" t="e">
        <f t="shared" si="60"/>
        <v>#NUM!</v>
      </c>
      <c r="D93" s="141">
        <f t="shared" si="65"/>
        <v>0</v>
      </c>
      <c r="E93" s="141" t="str">
        <f>IFERROR(DGET($BV$30:$CC$82,F93,G92:G93),"")</f>
        <v/>
      </c>
      <c r="F93" s="142">
        <f t="shared" ref="F93:F156" si="89">IF(AV93&gt;0,$AV$25,IF(AW93&gt;0,$AW$25,IF(AX93&gt;0,$AX$25,IF(AY93&gt;0,$AY$25,IF(AZ93&gt;0,$AZ$25,IF(AU93&gt;0,$AU$25,0))))))</f>
        <v>0</v>
      </c>
      <c r="G93" s="142" t="b">
        <f>IF(Q93&gt;0,IF(AND(S93&gt;0,S93&lt;2),CONCATENATE(Q93," ","0-2"),IF(AND(S93&gt;=2,S93&lt;8),CONCATENATE(Q93," ","2-8"),)))</f>
        <v>0</v>
      </c>
      <c r="H93" s="80">
        <f t="shared" si="66"/>
        <v>0</v>
      </c>
      <c r="I93" s="80" t="str">
        <f t="shared" si="4"/>
        <v/>
      </c>
      <c r="J93" s="76"/>
      <c r="K93" s="76"/>
      <c r="L93" s="76"/>
      <c r="M93" s="80"/>
      <c r="N93" s="79"/>
      <c r="O93" s="148"/>
      <c r="P93" s="77">
        <f t="shared" si="5"/>
        <v>0</v>
      </c>
      <c r="Q93" s="81"/>
      <c r="R93" s="77"/>
      <c r="S93" s="146">
        <f t="shared" si="61"/>
        <v>0</v>
      </c>
      <c r="T93" s="141" t="b">
        <f t="shared" si="43"/>
        <v>0</v>
      </c>
      <c r="U93" s="649">
        <f t="shared" si="67"/>
        <v>0</v>
      </c>
      <c r="V93" s="650"/>
      <c r="W93" s="649">
        <f t="shared" si="68"/>
        <v>0</v>
      </c>
      <c r="X93" s="650"/>
      <c r="Y93" s="649">
        <f t="shared" si="69"/>
        <v>0</v>
      </c>
      <c r="Z93" s="650"/>
      <c r="AA93" s="649">
        <f t="shared" si="70"/>
        <v>0</v>
      </c>
      <c r="AB93" s="650"/>
      <c r="AC93" s="649">
        <f t="shared" si="71"/>
        <v>0</v>
      </c>
      <c r="AD93" s="650"/>
      <c r="AE93" s="649">
        <f t="shared" si="72"/>
        <v>0</v>
      </c>
      <c r="AF93" s="650"/>
      <c r="AG93" s="649">
        <f t="shared" si="73"/>
        <v>0</v>
      </c>
      <c r="AH93" s="650"/>
      <c r="AI93" s="649">
        <f t="shared" si="74"/>
        <v>0</v>
      </c>
      <c r="AJ93" s="650"/>
      <c r="AK93" s="649">
        <f t="shared" si="75"/>
        <v>0</v>
      </c>
      <c r="AL93" s="650"/>
      <c r="AM93" s="649">
        <f t="shared" si="76"/>
        <v>0</v>
      </c>
      <c r="AN93" s="650"/>
      <c r="AO93" s="649">
        <f t="shared" si="77"/>
        <v>0</v>
      </c>
      <c r="AP93" s="650"/>
      <c r="AQ93" s="649">
        <f t="shared" si="78"/>
        <v>0</v>
      </c>
      <c r="AR93" s="650"/>
      <c r="AS93" s="651">
        <f t="shared" si="79"/>
        <v>0</v>
      </c>
      <c r="AT93" s="652"/>
      <c r="AU93" s="141">
        <f t="shared" si="20"/>
        <v>0</v>
      </c>
      <c r="AV93" s="141">
        <f t="shared" si="21"/>
        <v>0</v>
      </c>
      <c r="AW93" s="141">
        <f t="shared" si="22"/>
        <v>0</v>
      </c>
      <c r="AX93" s="141">
        <f t="shared" si="23"/>
        <v>0</v>
      </c>
      <c r="AY93" s="141">
        <f t="shared" si="24"/>
        <v>0</v>
      </c>
      <c r="AZ93" s="141">
        <f t="shared" si="25"/>
        <v>0</v>
      </c>
      <c r="BA93" s="141">
        <f t="shared" si="26"/>
        <v>0</v>
      </c>
      <c r="BB93" s="141">
        <f t="shared" si="27"/>
        <v>0</v>
      </c>
      <c r="BC93" s="141">
        <f t="shared" si="28"/>
        <v>0</v>
      </c>
      <c r="BD93" s="141">
        <f t="shared" si="29"/>
        <v>0</v>
      </c>
      <c r="BE93" s="141">
        <f t="shared" si="30"/>
        <v>0</v>
      </c>
      <c r="BF93" s="141">
        <f t="shared" si="31"/>
        <v>0</v>
      </c>
      <c r="BG93" s="141">
        <f t="shared" si="80"/>
        <v>0</v>
      </c>
      <c r="BH93" s="141">
        <f t="shared" si="81"/>
        <v>0</v>
      </c>
      <c r="BI93" s="141">
        <f t="shared" si="34"/>
        <v>0</v>
      </c>
      <c r="BJ93" s="147">
        <f t="shared" si="82"/>
        <v>0</v>
      </c>
      <c r="BK93" s="141">
        <f t="shared" si="83"/>
        <v>0</v>
      </c>
      <c r="BL93" s="141">
        <f t="shared" si="84"/>
        <v>0</v>
      </c>
      <c r="BM93" s="141">
        <f t="shared" si="85"/>
        <v>0</v>
      </c>
      <c r="BN93" s="141">
        <f t="shared" si="86"/>
        <v>0</v>
      </c>
      <c r="BO93" s="141">
        <f t="shared" si="87"/>
        <v>0</v>
      </c>
      <c r="BP93" s="141">
        <f t="shared" si="88"/>
        <v>0</v>
      </c>
      <c r="BS93" s="153"/>
      <c r="BT93" s="177"/>
      <c r="BU93" s="173"/>
      <c r="BV93" s="174"/>
      <c r="BW93" s="175"/>
      <c r="BX93" s="176"/>
      <c r="BY93" s="175"/>
      <c r="BZ93" s="176"/>
      <c r="CA93" s="176"/>
      <c r="CB93" s="176"/>
      <c r="CC93" s="176"/>
      <c r="CF93" s="166" t="e">
        <f t="shared" si="63"/>
        <v>#REF!</v>
      </c>
      <c r="CG93" s="166" t="s">
        <v>199</v>
      </c>
      <c r="CH93" s="166" t="e">
        <f>#REF!</f>
        <v>#REF!</v>
      </c>
      <c r="CI93" s="178" t="e">
        <f>#REF!</f>
        <v>#REF!</v>
      </c>
      <c r="CJ93" s="179">
        <v>1367</v>
      </c>
      <c r="CK93" s="179" t="e">
        <f t="shared" si="64"/>
        <v>#REF!</v>
      </c>
    </row>
    <row r="94" spans="2:89" s="108" customFormat="1" hidden="1">
      <c r="B94" s="109"/>
      <c r="C94" s="141" t="e">
        <f t="shared" si="60"/>
        <v>#NUM!</v>
      </c>
      <c r="D94" s="141">
        <f t="shared" si="65"/>
        <v>0</v>
      </c>
      <c r="E94" s="141"/>
      <c r="F94" s="142">
        <f t="shared" si="89"/>
        <v>0</v>
      </c>
      <c r="G94" s="143" t="s">
        <v>146</v>
      </c>
      <c r="H94" s="80">
        <f t="shared" si="66"/>
        <v>0</v>
      </c>
      <c r="I94" s="80" t="str">
        <f t="shared" ref="I94:I157" si="90">CONCATENATE(J94,Q94)</f>
        <v/>
      </c>
      <c r="J94" s="144"/>
      <c r="K94" s="144"/>
      <c r="L94" s="144"/>
      <c r="M94" s="76"/>
      <c r="N94" s="77"/>
      <c r="O94" s="145"/>
      <c r="P94" s="77">
        <f t="shared" ref="P94:P157" si="91">SQRT(((N94*O94)^2)+(N94^2))</f>
        <v>0</v>
      </c>
      <c r="Q94" s="78"/>
      <c r="R94" s="79"/>
      <c r="S94" s="146">
        <f t="shared" si="61"/>
        <v>0</v>
      </c>
      <c r="T94" s="141" t="b">
        <f t="shared" si="43"/>
        <v>0</v>
      </c>
      <c r="U94" s="649">
        <f t="shared" si="67"/>
        <v>0</v>
      </c>
      <c r="V94" s="650"/>
      <c r="W94" s="649">
        <f t="shared" si="68"/>
        <v>0</v>
      </c>
      <c r="X94" s="650"/>
      <c r="Y94" s="649">
        <f t="shared" si="69"/>
        <v>0</v>
      </c>
      <c r="Z94" s="650"/>
      <c r="AA94" s="649">
        <f t="shared" si="70"/>
        <v>0</v>
      </c>
      <c r="AB94" s="650"/>
      <c r="AC94" s="649">
        <f t="shared" si="71"/>
        <v>0</v>
      </c>
      <c r="AD94" s="650"/>
      <c r="AE94" s="649">
        <f t="shared" si="72"/>
        <v>0</v>
      </c>
      <c r="AF94" s="650"/>
      <c r="AG94" s="649">
        <f t="shared" si="73"/>
        <v>0</v>
      </c>
      <c r="AH94" s="650"/>
      <c r="AI94" s="649">
        <f t="shared" si="74"/>
        <v>0</v>
      </c>
      <c r="AJ94" s="650"/>
      <c r="AK94" s="649">
        <f t="shared" si="75"/>
        <v>0</v>
      </c>
      <c r="AL94" s="650"/>
      <c r="AM94" s="649">
        <f t="shared" si="76"/>
        <v>0</v>
      </c>
      <c r="AN94" s="650"/>
      <c r="AO94" s="649">
        <f t="shared" si="77"/>
        <v>0</v>
      </c>
      <c r="AP94" s="650"/>
      <c r="AQ94" s="649">
        <f t="shared" si="78"/>
        <v>0</v>
      </c>
      <c r="AR94" s="650"/>
      <c r="AS94" s="651">
        <f t="shared" si="79"/>
        <v>0</v>
      </c>
      <c r="AT94" s="652"/>
      <c r="AU94" s="141">
        <f t="shared" ref="AU94:AU157" si="92">IF((S94&lt;1.25),S94*P94*2,0)</f>
        <v>0</v>
      </c>
      <c r="AV94" s="141">
        <f t="shared" ref="AV94:AV157" si="93">IF(AND(L94="seco",S94&gt;=1.25,S94&lt;3),S94*P94*2,0)</f>
        <v>0</v>
      </c>
      <c r="AW94" s="141">
        <f t="shared" ref="AW94:AW157" si="94">IF(AND(L94="seco",S94&gt;=3),S94*P94*2,0)</f>
        <v>0</v>
      </c>
      <c r="AX94" s="141">
        <f t="shared" ref="AX94:AX157" si="95">IF(AND(L94="água",S94&gt;=1.25,S94&lt;4),S94*P94*2,0)</f>
        <v>0</v>
      </c>
      <c r="AY94" s="141">
        <f t="shared" ref="AY94:AY157" si="96">IF(AND(L94="água",S94&gt;=4,S94&lt;5),S94*P94*2,0)</f>
        <v>0</v>
      </c>
      <c r="AZ94" s="141">
        <f t="shared" ref="AZ94:AZ157" si="97">IF(AND(L94="água",S94&gt;=5),S94*P94*2,0)</f>
        <v>0</v>
      </c>
      <c r="BA94" s="141">
        <f t="shared" ref="BA94:BA157" si="98">SUM(U94:AT94)</f>
        <v>0</v>
      </c>
      <c r="BB94" s="141">
        <f t="shared" ref="BB94:BB157" si="99">BA94-((PI()*((Q94/2000)^2)*P94)+BG94+BH94+BK94+BF94)</f>
        <v>0</v>
      </c>
      <c r="BC94" s="141">
        <f t="shared" ref="BC94:BC157" si="100">IF(L94="ÁGUA",BA94,BA94-BB94)</f>
        <v>0</v>
      </c>
      <c r="BD94" s="141">
        <f t="shared" ref="BD94:BD157" si="101">IF(L94="ÁGUA",BB94,0)</f>
        <v>0</v>
      </c>
      <c r="BE94" s="141">
        <f t="shared" ref="BE94:BE157" si="102">IFERROR(P94*E94,0)</f>
        <v>0</v>
      </c>
      <c r="BF94" s="141">
        <f t="shared" ref="BF94:BF157" si="103">IF(OR(J94="PEAD",J94="PVC"),((((H94+Q94)/1000)+0.6)*E94*P94)-((PI()*((Q94/2000)^2)*P94)),0)</f>
        <v>0</v>
      </c>
      <c r="BG94" s="141">
        <f t="shared" si="80"/>
        <v>0</v>
      </c>
      <c r="BH94" s="141">
        <f t="shared" si="81"/>
        <v>0</v>
      </c>
      <c r="BI94" s="141">
        <f t="shared" ref="BI94:BI157" si="104">IF(L94="água",(P94),0)</f>
        <v>0</v>
      </c>
      <c r="BJ94" s="147">
        <f t="shared" si="82"/>
        <v>0</v>
      </c>
      <c r="BK94" s="141">
        <f t="shared" si="83"/>
        <v>0</v>
      </c>
      <c r="BL94" s="141">
        <f t="shared" si="84"/>
        <v>0</v>
      </c>
      <c r="BM94" s="141">
        <f t="shared" si="85"/>
        <v>0</v>
      </c>
      <c r="BN94" s="141">
        <f t="shared" si="86"/>
        <v>0</v>
      </c>
      <c r="BO94" s="141">
        <f t="shared" si="87"/>
        <v>0</v>
      </c>
      <c r="BP94" s="141">
        <f t="shared" si="88"/>
        <v>0</v>
      </c>
      <c r="BS94" s="153"/>
      <c r="BT94" s="177"/>
      <c r="BU94" s="173"/>
      <c r="BV94" s="174"/>
      <c r="BW94" s="175"/>
      <c r="BX94" s="176"/>
      <c r="BY94" s="175"/>
      <c r="BZ94" s="176"/>
      <c r="CA94" s="176"/>
      <c r="CB94" s="176"/>
      <c r="CC94" s="176"/>
      <c r="CF94" s="166" t="e">
        <f t="shared" si="63"/>
        <v>#REF!</v>
      </c>
      <c r="CG94" s="166" t="s">
        <v>199</v>
      </c>
      <c r="CH94" s="166" t="e">
        <f>#REF!</f>
        <v>#REF!</v>
      </c>
      <c r="CI94" s="178" t="e">
        <f>#REF!</f>
        <v>#REF!</v>
      </c>
      <c r="CJ94" s="179">
        <v>1684</v>
      </c>
      <c r="CK94" s="179" t="e">
        <f t="shared" si="64"/>
        <v>#REF!</v>
      </c>
    </row>
    <row r="95" spans="2:89" s="108" customFormat="1" hidden="1">
      <c r="B95" s="109"/>
      <c r="C95" s="141" t="e">
        <f t="shared" si="60"/>
        <v>#NUM!</v>
      </c>
      <c r="D95" s="141">
        <f t="shared" si="65"/>
        <v>0</v>
      </c>
      <c r="E95" s="141" t="str">
        <f>IFERROR(DGET($BV$30:$CC$82,F95,G94:G95),"")</f>
        <v/>
      </c>
      <c r="F95" s="142">
        <f t="shared" si="89"/>
        <v>0</v>
      </c>
      <c r="G95" s="142" t="b">
        <f>IF(Q95&gt;0,IF(AND(S95&gt;0,S95&lt;2),CONCATENATE(Q95," ","0-2"),IF(AND(S95&gt;=2,S95&lt;8),CONCATENATE(Q95," ","2-8"),)))</f>
        <v>0</v>
      </c>
      <c r="H95" s="80">
        <f t="shared" si="66"/>
        <v>0</v>
      </c>
      <c r="I95" s="80" t="str">
        <f t="shared" si="90"/>
        <v/>
      </c>
      <c r="J95" s="76"/>
      <c r="K95" s="76"/>
      <c r="L95" s="76"/>
      <c r="M95" s="80"/>
      <c r="N95" s="79"/>
      <c r="O95" s="148"/>
      <c r="P95" s="77">
        <f t="shared" si="91"/>
        <v>0</v>
      </c>
      <c r="Q95" s="81"/>
      <c r="R95" s="77"/>
      <c r="S95" s="146">
        <f t="shared" si="61"/>
        <v>0</v>
      </c>
      <c r="T95" s="141" t="b">
        <f t="shared" ref="T95:T158" si="105">IF(R95&gt;0,IF(R95&gt;=1.5,R95-1.5,0))</f>
        <v>0</v>
      </c>
      <c r="U95" s="649">
        <f t="shared" si="67"/>
        <v>0</v>
      </c>
      <c r="V95" s="650"/>
      <c r="W95" s="649">
        <f t="shared" si="68"/>
        <v>0</v>
      </c>
      <c r="X95" s="650"/>
      <c r="Y95" s="649">
        <f t="shared" si="69"/>
        <v>0</v>
      </c>
      <c r="Z95" s="650"/>
      <c r="AA95" s="649">
        <f t="shared" si="70"/>
        <v>0</v>
      </c>
      <c r="AB95" s="650"/>
      <c r="AC95" s="649">
        <f t="shared" si="71"/>
        <v>0</v>
      </c>
      <c r="AD95" s="650"/>
      <c r="AE95" s="649">
        <f t="shared" si="72"/>
        <v>0</v>
      </c>
      <c r="AF95" s="650"/>
      <c r="AG95" s="649">
        <f t="shared" si="73"/>
        <v>0</v>
      </c>
      <c r="AH95" s="650"/>
      <c r="AI95" s="649">
        <f t="shared" si="74"/>
        <v>0</v>
      </c>
      <c r="AJ95" s="650"/>
      <c r="AK95" s="649">
        <f t="shared" si="75"/>
        <v>0</v>
      </c>
      <c r="AL95" s="650"/>
      <c r="AM95" s="649">
        <f t="shared" si="76"/>
        <v>0</v>
      </c>
      <c r="AN95" s="650"/>
      <c r="AO95" s="649">
        <f t="shared" si="77"/>
        <v>0</v>
      </c>
      <c r="AP95" s="650"/>
      <c r="AQ95" s="649">
        <f t="shared" si="78"/>
        <v>0</v>
      </c>
      <c r="AR95" s="650"/>
      <c r="AS95" s="651">
        <f t="shared" si="79"/>
        <v>0</v>
      </c>
      <c r="AT95" s="652"/>
      <c r="AU95" s="141">
        <f t="shared" si="92"/>
        <v>0</v>
      </c>
      <c r="AV95" s="141">
        <f t="shared" si="93"/>
        <v>0</v>
      </c>
      <c r="AW95" s="141">
        <f t="shared" si="94"/>
        <v>0</v>
      </c>
      <c r="AX95" s="141">
        <f t="shared" si="95"/>
        <v>0</v>
      </c>
      <c r="AY95" s="141">
        <f t="shared" si="96"/>
        <v>0</v>
      </c>
      <c r="AZ95" s="141">
        <f t="shared" si="97"/>
        <v>0</v>
      </c>
      <c r="BA95" s="141">
        <f t="shared" si="98"/>
        <v>0</v>
      </c>
      <c r="BB95" s="141">
        <f t="shared" si="99"/>
        <v>0</v>
      </c>
      <c r="BC95" s="141">
        <f t="shared" si="100"/>
        <v>0</v>
      </c>
      <c r="BD95" s="141">
        <f t="shared" si="101"/>
        <v>0</v>
      </c>
      <c r="BE95" s="141">
        <f t="shared" si="102"/>
        <v>0</v>
      </c>
      <c r="BF95" s="141">
        <f t="shared" si="103"/>
        <v>0</v>
      </c>
      <c r="BG95" s="141">
        <f t="shared" si="80"/>
        <v>0</v>
      </c>
      <c r="BH95" s="141">
        <f t="shared" si="81"/>
        <v>0</v>
      </c>
      <c r="BI95" s="141">
        <f t="shared" si="104"/>
        <v>0</v>
      </c>
      <c r="BJ95" s="147">
        <f t="shared" si="82"/>
        <v>0</v>
      </c>
      <c r="BK95" s="141">
        <f t="shared" si="83"/>
        <v>0</v>
      </c>
      <c r="BL95" s="141">
        <f t="shared" si="84"/>
        <v>0</v>
      </c>
      <c r="BM95" s="141">
        <f t="shared" si="85"/>
        <v>0</v>
      </c>
      <c r="BN95" s="141">
        <f t="shared" si="86"/>
        <v>0</v>
      </c>
      <c r="BO95" s="141">
        <f t="shared" si="87"/>
        <v>0</v>
      </c>
      <c r="BP95" s="141">
        <f t="shared" si="88"/>
        <v>0</v>
      </c>
      <c r="BS95" s="153"/>
      <c r="BT95" s="177"/>
      <c r="BU95" s="173"/>
      <c r="BV95" s="174"/>
      <c r="BW95" s="175"/>
      <c r="BX95" s="176"/>
      <c r="BY95" s="175"/>
      <c r="BZ95" s="176"/>
      <c r="CA95" s="176"/>
      <c r="CB95" s="176"/>
      <c r="CC95" s="176"/>
      <c r="CF95" s="166" t="e">
        <f t="shared" si="63"/>
        <v>#REF!</v>
      </c>
      <c r="CG95" s="166" t="s">
        <v>200</v>
      </c>
      <c r="CH95" s="166" t="e">
        <f>#REF!</f>
        <v>#REF!</v>
      </c>
      <c r="CI95" s="178" t="e">
        <f>#REF!</f>
        <v>#REF!</v>
      </c>
      <c r="CJ95" s="179">
        <v>327</v>
      </c>
      <c r="CK95" s="179" t="e">
        <f t="shared" si="64"/>
        <v>#REF!</v>
      </c>
    </row>
    <row r="96" spans="2:89" s="108" customFormat="1" hidden="1">
      <c r="B96" s="109"/>
      <c r="C96" s="141" t="e">
        <f t="shared" si="60"/>
        <v>#NUM!</v>
      </c>
      <c r="D96" s="141">
        <f t="shared" si="65"/>
        <v>0</v>
      </c>
      <c r="E96" s="141"/>
      <c r="F96" s="142">
        <f t="shared" si="89"/>
        <v>0</v>
      </c>
      <c r="G96" s="143" t="s">
        <v>146</v>
      </c>
      <c r="H96" s="80">
        <f t="shared" si="66"/>
        <v>0</v>
      </c>
      <c r="I96" s="80" t="str">
        <f t="shared" si="90"/>
        <v/>
      </c>
      <c r="J96" s="144"/>
      <c r="K96" s="144"/>
      <c r="L96" s="144"/>
      <c r="M96" s="76"/>
      <c r="N96" s="77"/>
      <c r="O96" s="145"/>
      <c r="P96" s="77">
        <f t="shared" si="91"/>
        <v>0</v>
      </c>
      <c r="Q96" s="78"/>
      <c r="R96" s="79"/>
      <c r="S96" s="146">
        <f t="shared" si="61"/>
        <v>0</v>
      </c>
      <c r="T96" s="141" t="b">
        <f t="shared" si="105"/>
        <v>0</v>
      </c>
      <c r="U96" s="649">
        <f t="shared" si="67"/>
        <v>0</v>
      </c>
      <c r="V96" s="650"/>
      <c r="W96" s="649">
        <f t="shared" si="68"/>
        <v>0</v>
      </c>
      <c r="X96" s="650"/>
      <c r="Y96" s="649">
        <f t="shared" si="69"/>
        <v>0</v>
      </c>
      <c r="Z96" s="650"/>
      <c r="AA96" s="649">
        <f t="shared" si="70"/>
        <v>0</v>
      </c>
      <c r="AB96" s="650"/>
      <c r="AC96" s="649">
        <f t="shared" si="71"/>
        <v>0</v>
      </c>
      <c r="AD96" s="650"/>
      <c r="AE96" s="649">
        <f t="shared" si="72"/>
        <v>0</v>
      </c>
      <c r="AF96" s="650"/>
      <c r="AG96" s="649">
        <f t="shared" si="73"/>
        <v>0</v>
      </c>
      <c r="AH96" s="650"/>
      <c r="AI96" s="649">
        <f t="shared" si="74"/>
        <v>0</v>
      </c>
      <c r="AJ96" s="650"/>
      <c r="AK96" s="649">
        <f t="shared" si="75"/>
        <v>0</v>
      </c>
      <c r="AL96" s="650"/>
      <c r="AM96" s="649">
        <f t="shared" si="76"/>
        <v>0</v>
      </c>
      <c r="AN96" s="650"/>
      <c r="AO96" s="649">
        <f t="shared" si="77"/>
        <v>0</v>
      </c>
      <c r="AP96" s="650"/>
      <c r="AQ96" s="649">
        <f t="shared" si="78"/>
        <v>0</v>
      </c>
      <c r="AR96" s="650"/>
      <c r="AS96" s="651">
        <f t="shared" si="79"/>
        <v>0</v>
      </c>
      <c r="AT96" s="652"/>
      <c r="AU96" s="141">
        <f t="shared" si="92"/>
        <v>0</v>
      </c>
      <c r="AV96" s="141">
        <f t="shared" si="93"/>
        <v>0</v>
      </c>
      <c r="AW96" s="141">
        <f t="shared" si="94"/>
        <v>0</v>
      </c>
      <c r="AX96" s="141">
        <f t="shared" si="95"/>
        <v>0</v>
      </c>
      <c r="AY96" s="141">
        <f t="shared" si="96"/>
        <v>0</v>
      </c>
      <c r="AZ96" s="141">
        <f t="shared" si="97"/>
        <v>0</v>
      </c>
      <c r="BA96" s="141">
        <f t="shared" si="98"/>
        <v>0</v>
      </c>
      <c r="BB96" s="141">
        <f t="shared" si="99"/>
        <v>0</v>
      </c>
      <c r="BC96" s="141">
        <f t="shared" si="100"/>
        <v>0</v>
      </c>
      <c r="BD96" s="141">
        <f t="shared" si="101"/>
        <v>0</v>
      </c>
      <c r="BE96" s="141">
        <f t="shared" si="102"/>
        <v>0</v>
      </c>
      <c r="BF96" s="141">
        <f t="shared" si="103"/>
        <v>0</v>
      </c>
      <c r="BG96" s="141">
        <f t="shared" si="80"/>
        <v>0</v>
      </c>
      <c r="BH96" s="141">
        <f t="shared" si="81"/>
        <v>0</v>
      </c>
      <c r="BI96" s="141">
        <f t="shared" si="104"/>
        <v>0</v>
      </c>
      <c r="BJ96" s="147">
        <f t="shared" si="82"/>
        <v>0</v>
      </c>
      <c r="BK96" s="141">
        <f t="shared" si="83"/>
        <v>0</v>
      </c>
      <c r="BL96" s="141">
        <f t="shared" si="84"/>
        <v>0</v>
      </c>
      <c r="BM96" s="141">
        <f t="shared" si="85"/>
        <v>0</v>
      </c>
      <c r="BN96" s="141">
        <f t="shared" si="86"/>
        <v>0</v>
      </c>
      <c r="BO96" s="141">
        <f t="shared" si="87"/>
        <v>0</v>
      </c>
      <c r="BP96" s="141">
        <f t="shared" si="88"/>
        <v>0</v>
      </c>
      <c r="BS96" s="153"/>
      <c r="BT96" s="177"/>
      <c r="BU96" s="173"/>
      <c r="BV96" s="174"/>
      <c r="BW96" s="175"/>
      <c r="BX96" s="176"/>
      <c r="BY96" s="175"/>
      <c r="BZ96" s="176"/>
      <c r="CA96" s="176"/>
      <c r="CB96" s="176"/>
      <c r="CC96" s="176"/>
      <c r="CF96" s="166" t="e">
        <f t="shared" si="63"/>
        <v>#REF!</v>
      </c>
      <c r="CG96" s="166" t="s">
        <v>200</v>
      </c>
      <c r="CH96" s="166" t="e">
        <f>#REF!</f>
        <v>#REF!</v>
      </c>
      <c r="CI96" s="178" t="e">
        <f>#REF!</f>
        <v>#REF!</v>
      </c>
      <c r="CJ96" s="179">
        <v>427</v>
      </c>
      <c r="CK96" s="179" t="e">
        <f t="shared" si="64"/>
        <v>#REF!</v>
      </c>
    </row>
    <row r="97" spans="2:89" s="108" customFormat="1" hidden="1">
      <c r="B97" s="109"/>
      <c r="C97" s="141" t="e">
        <f t="shared" si="60"/>
        <v>#NUM!</v>
      </c>
      <c r="D97" s="141">
        <f t="shared" si="65"/>
        <v>0</v>
      </c>
      <c r="E97" s="141" t="str">
        <f>IFERROR(DGET($BV$30:$CC$82,F97,G96:G97),"")</f>
        <v/>
      </c>
      <c r="F97" s="142">
        <f t="shared" si="89"/>
        <v>0</v>
      </c>
      <c r="G97" s="142" t="b">
        <f>IF(Q97&gt;0,IF(AND(S97&gt;0,S97&lt;2),CONCATENATE(Q97," ","0-2"),IF(AND(S97&gt;=2,S97&lt;8),CONCATENATE(Q97," ","2-8"),)))</f>
        <v>0</v>
      </c>
      <c r="H97" s="80">
        <f t="shared" si="66"/>
        <v>0</v>
      </c>
      <c r="I97" s="80" t="str">
        <f t="shared" si="90"/>
        <v/>
      </c>
      <c r="J97" s="76"/>
      <c r="K97" s="76"/>
      <c r="L97" s="76"/>
      <c r="M97" s="80"/>
      <c r="N97" s="79"/>
      <c r="O97" s="148"/>
      <c r="P97" s="77">
        <f t="shared" si="91"/>
        <v>0</v>
      </c>
      <c r="Q97" s="81"/>
      <c r="R97" s="77"/>
      <c r="S97" s="146">
        <f t="shared" si="61"/>
        <v>0</v>
      </c>
      <c r="T97" s="141" t="b">
        <f t="shared" si="105"/>
        <v>0</v>
      </c>
      <c r="U97" s="649">
        <f t="shared" si="67"/>
        <v>0</v>
      </c>
      <c r="V97" s="650"/>
      <c r="W97" s="649">
        <f t="shared" si="68"/>
        <v>0</v>
      </c>
      <c r="X97" s="650"/>
      <c r="Y97" s="649">
        <f t="shared" si="69"/>
        <v>0</v>
      </c>
      <c r="Z97" s="650"/>
      <c r="AA97" s="649">
        <f t="shared" si="70"/>
        <v>0</v>
      </c>
      <c r="AB97" s="650"/>
      <c r="AC97" s="649">
        <f t="shared" si="71"/>
        <v>0</v>
      </c>
      <c r="AD97" s="650"/>
      <c r="AE97" s="649">
        <f t="shared" si="72"/>
        <v>0</v>
      </c>
      <c r="AF97" s="650"/>
      <c r="AG97" s="649">
        <f t="shared" si="73"/>
        <v>0</v>
      </c>
      <c r="AH97" s="650"/>
      <c r="AI97" s="649">
        <f t="shared" si="74"/>
        <v>0</v>
      </c>
      <c r="AJ97" s="650"/>
      <c r="AK97" s="649">
        <f t="shared" si="75"/>
        <v>0</v>
      </c>
      <c r="AL97" s="650"/>
      <c r="AM97" s="649">
        <f t="shared" si="76"/>
        <v>0</v>
      </c>
      <c r="AN97" s="650"/>
      <c r="AO97" s="649">
        <f t="shared" si="77"/>
        <v>0</v>
      </c>
      <c r="AP97" s="650"/>
      <c r="AQ97" s="649">
        <f t="shared" si="78"/>
        <v>0</v>
      </c>
      <c r="AR97" s="650"/>
      <c r="AS97" s="651">
        <f t="shared" si="79"/>
        <v>0</v>
      </c>
      <c r="AT97" s="652"/>
      <c r="AU97" s="141">
        <f t="shared" si="92"/>
        <v>0</v>
      </c>
      <c r="AV97" s="141">
        <f t="shared" si="93"/>
        <v>0</v>
      </c>
      <c r="AW97" s="141">
        <f t="shared" si="94"/>
        <v>0</v>
      </c>
      <c r="AX97" s="141">
        <f t="shared" si="95"/>
        <v>0</v>
      </c>
      <c r="AY97" s="141">
        <f t="shared" si="96"/>
        <v>0</v>
      </c>
      <c r="AZ97" s="141">
        <f t="shared" si="97"/>
        <v>0</v>
      </c>
      <c r="BA97" s="141">
        <f t="shared" si="98"/>
        <v>0</v>
      </c>
      <c r="BB97" s="141">
        <f t="shared" si="99"/>
        <v>0</v>
      </c>
      <c r="BC97" s="141">
        <f t="shared" si="100"/>
        <v>0</v>
      </c>
      <c r="BD97" s="141">
        <f t="shared" si="101"/>
        <v>0</v>
      </c>
      <c r="BE97" s="141">
        <f t="shared" si="102"/>
        <v>0</v>
      </c>
      <c r="BF97" s="141">
        <f t="shared" si="103"/>
        <v>0</v>
      </c>
      <c r="BG97" s="141">
        <f t="shared" si="80"/>
        <v>0</v>
      </c>
      <c r="BH97" s="141">
        <f t="shared" si="81"/>
        <v>0</v>
      </c>
      <c r="BI97" s="141">
        <f t="shared" si="104"/>
        <v>0</v>
      </c>
      <c r="BJ97" s="147">
        <f t="shared" si="82"/>
        <v>0</v>
      </c>
      <c r="BK97" s="141">
        <f t="shared" si="83"/>
        <v>0</v>
      </c>
      <c r="BL97" s="141">
        <f t="shared" si="84"/>
        <v>0</v>
      </c>
      <c r="BM97" s="141">
        <f t="shared" si="85"/>
        <v>0</v>
      </c>
      <c r="BN97" s="141">
        <f t="shared" si="86"/>
        <v>0</v>
      </c>
      <c r="BO97" s="141">
        <f t="shared" si="87"/>
        <v>0</v>
      </c>
      <c r="BP97" s="141">
        <f t="shared" si="88"/>
        <v>0</v>
      </c>
      <c r="BS97" s="153"/>
      <c r="BT97" s="177"/>
      <c r="BU97" s="173"/>
      <c r="BV97" s="174"/>
      <c r="BW97" s="171"/>
      <c r="BX97" s="174"/>
      <c r="BY97" s="171"/>
      <c r="BZ97" s="174"/>
      <c r="CA97" s="174"/>
      <c r="CB97" s="176"/>
      <c r="CC97" s="176"/>
      <c r="CF97" s="166" t="e">
        <f t="shared" si="63"/>
        <v>#REF!</v>
      </c>
      <c r="CG97" s="166" t="s">
        <v>200</v>
      </c>
      <c r="CH97" s="166" t="e">
        <f>#REF!</f>
        <v>#REF!</v>
      </c>
      <c r="CI97" s="178" t="e">
        <f>#REF!</f>
        <v>#REF!</v>
      </c>
      <c r="CJ97" s="179">
        <v>534</v>
      </c>
      <c r="CK97" s="179" t="e">
        <f t="shared" si="64"/>
        <v>#REF!</v>
      </c>
    </row>
    <row r="98" spans="2:89" s="108" customFormat="1" hidden="1">
      <c r="B98" s="109"/>
      <c r="C98" s="141" t="e">
        <f t="shared" si="60"/>
        <v>#NUM!</v>
      </c>
      <c r="D98" s="141">
        <f t="shared" si="65"/>
        <v>0</v>
      </c>
      <c r="E98" s="141"/>
      <c r="F98" s="142">
        <f t="shared" si="89"/>
        <v>0</v>
      </c>
      <c r="G98" s="143" t="s">
        <v>146</v>
      </c>
      <c r="H98" s="80">
        <f t="shared" si="66"/>
        <v>0</v>
      </c>
      <c r="I98" s="80" t="str">
        <f t="shared" si="90"/>
        <v/>
      </c>
      <c r="J98" s="144"/>
      <c r="K98" s="144"/>
      <c r="L98" s="144"/>
      <c r="M98" s="76"/>
      <c r="N98" s="77"/>
      <c r="O98" s="145"/>
      <c r="P98" s="77">
        <f t="shared" ref="P98:P101" si="106">SQRT(((N98*O98)^2)+(N98^2))</f>
        <v>0</v>
      </c>
      <c r="Q98" s="78"/>
      <c r="R98" s="79"/>
      <c r="S98" s="146">
        <f t="shared" si="61"/>
        <v>0</v>
      </c>
      <c r="T98" s="141" t="b">
        <f t="shared" si="105"/>
        <v>0</v>
      </c>
      <c r="U98" s="649">
        <f t="shared" si="67"/>
        <v>0</v>
      </c>
      <c r="V98" s="650"/>
      <c r="W98" s="649">
        <f t="shared" si="68"/>
        <v>0</v>
      </c>
      <c r="X98" s="650"/>
      <c r="Y98" s="649">
        <f t="shared" si="69"/>
        <v>0</v>
      </c>
      <c r="Z98" s="650"/>
      <c r="AA98" s="649">
        <f t="shared" si="70"/>
        <v>0</v>
      </c>
      <c r="AB98" s="650"/>
      <c r="AC98" s="649">
        <f t="shared" si="71"/>
        <v>0</v>
      </c>
      <c r="AD98" s="650"/>
      <c r="AE98" s="649">
        <f t="shared" si="72"/>
        <v>0</v>
      </c>
      <c r="AF98" s="650"/>
      <c r="AG98" s="649">
        <f t="shared" si="73"/>
        <v>0</v>
      </c>
      <c r="AH98" s="650"/>
      <c r="AI98" s="649">
        <f t="shared" si="74"/>
        <v>0</v>
      </c>
      <c r="AJ98" s="650"/>
      <c r="AK98" s="649">
        <f t="shared" si="75"/>
        <v>0</v>
      </c>
      <c r="AL98" s="650"/>
      <c r="AM98" s="649">
        <f t="shared" si="76"/>
        <v>0</v>
      </c>
      <c r="AN98" s="650"/>
      <c r="AO98" s="649">
        <f t="shared" si="77"/>
        <v>0</v>
      </c>
      <c r="AP98" s="650"/>
      <c r="AQ98" s="649">
        <f t="shared" si="78"/>
        <v>0</v>
      </c>
      <c r="AR98" s="650"/>
      <c r="AS98" s="651">
        <f t="shared" si="79"/>
        <v>0</v>
      </c>
      <c r="AT98" s="652"/>
      <c r="AU98" s="141">
        <f t="shared" si="92"/>
        <v>0</v>
      </c>
      <c r="AV98" s="141">
        <f t="shared" si="93"/>
        <v>0</v>
      </c>
      <c r="AW98" s="141">
        <f t="shared" si="94"/>
        <v>0</v>
      </c>
      <c r="AX98" s="141">
        <f t="shared" si="95"/>
        <v>0</v>
      </c>
      <c r="AY98" s="141">
        <f t="shared" si="96"/>
        <v>0</v>
      </c>
      <c r="AZ98" s="141">
        <f t="shared" si="97"/>
        <v>0</v>
      </c>
      <c r="BA98" s="141">
        <f t="shared" si="98"/>
        <v>0</v>
      </c>
      <c r="BB98" s="141">
        <f t="shared" si="99"/>
        <v>0</v>
      </c>
      <c r="BC98" s="141">
        <f t="shared" si="100"/>
        <v>0</v>
      </c>
      <c r="BD98" s="141">
        <f t="shared" si="101"/>
        <v>0</v>
      </c>
      <c r="BE98" s="141">
        <f t="shared" si="102"/>
        <v>0</v>
      </c>
      <c r="BF98" s="141">
        <f t="shared" si="103"/>
        <v>0</v>
      </c>
      <c r="BG98" s="141">
        <f t="shared" si="80"/>
        <v>0</v>
      </c>
      <c r="BH98" s="141">
        <f t="shared" si="81"/>
        <v>0</v>
      </c>
      <c r="BI98" s="141">
        <f t="shared" si="104"/>
        <v>0</v>
      </c>
      <c r="BJ98" s="147">
        <f t="shared" si="82"/>
        <v>0</v>
      </c>
      <c r="BK98" s="141">
        <f t="shared" si="83"/>
        <v>0</v>
      </c>
      <c r="BL98" s="141">
        <f t="shared" si="84"/>
        <v>0</v>
      </c>
      <c r="BM98" s="141">
        <f t="shared" si="85"/>
        <v>0</v>
      </c>
      <c r="BN98" s="141">
        <f t="shared" si="86"/>
        <v>0</v>
      </c>
      <c r="BO98" s="141">
        <f t="shared" si="87"/>
        <v>0</v>
      </c>
      <c r="BP98" s="141">
        <f t="shared" si="88"/>
        <v>0</v>
      </c>
      <c r="BS98" s="153"/>
      <c r="BT98" s="177"/>
      <c r="BU98" s="173"/>
      <c r="BV98" s="174"/>
      <c r="BW98" s="171"/>
      <c r="BX98" s="174"/>
      <c r="BY98" s="171"/>
      <c r="BZ98" s="174"/>
      <c r="CA98" s="174"/>
      <c r="CB98" s="176"/>
      <c r="CC98" s="176"/>
      <c r="CF98" s="166" t="e">
        <f t="shared" si="63"/>
        <v>#REF!</v>
      </c>
      <c r="CG98" s="166" t="s">
        <v>200</v>
      </c>
      <c r="CH98" s="166" t="e">
        <f>#REF!</f>
        <v>#REF!</v>
      </c>
      <c r="CI98" s="178" t="e">
        <f>#REF!</f>
        <v>#REF!</v>
      </c>
      <c r="CJ98" s="179">
        <v>634</v>
      </c>
      <c r="CK98" s="179" t="e">
        <f t="shared" si="64"/>
        <v>#REF!</v>
      </c>
    </row>
    <row r="99" spans="2:89" s="108" customFormat="1" hidden="1">
      <c r="B99" s="109"/>
      <c r="C99" s="141" t="e">
        <f t="shared" si="60"/>
        <v>#NUM!</v>
      </c>
      <c r="D99" s="141">
        <f t="shared" si="65"/>
        <v>0</v>
      </c>
      <c r="E99" s="141" t="str">
        <f>IFERROR(DGET($BV$30:$CC$82,F99,G98:G99),"")</f>
        <v/>
      </c>
      <c r="F99" s="142">
        <f t="shared" si="89"/>
        <v>0</v>
      </c>
      <c r="G99" s="142" t="b">
        <f>IF(Q99&gt;0,IF(AND(S99&gt;0,S99&lt;2),CONCATENATE(Q99," ","0-2"),IF(AND(S99&gt;=2,S99&lt;8),CONCATENATE(Q99," ","2-8"),)))</f>
        <v>0</v>
      </c>
      <c r="H99" s="80">
        <f t="shared" si="66"/>
        <v>0</v>
      </c>
      <c r="I99" s="80" t="str">
        <f t="shared" si="90"/>
        <v/>
      </c>
      <c r="J99" s="76"/>
      <c r="K99" s="76"/>
      <c r="L99" s="76"/>
      <c r="M99" s="80"/>
      <c r="N99" s="79"/>
      <c r="O99" s="148"/>
      <c r="P99" s="77">
        <f t="shared" si="106"/>
        <v>0</v>
      </c>
      <c r="Q99" s="81"/>
      <c r="R99" s="77"/>
      <c r="S99" s="146">
        <f t="shared" si="61"/>
        <v>0</v>
      </c>
      <c r="T99" s="141" t="b">
        <f t="shared" si="105"/>
        <v>0</v>
      </c>
      <c r="U99" s="649">
        <f t="shared" si="67"/>
        <v>0</v>
      </c>
      <c r="V99" s="650"/>
      <c r="W99" s="649">
        <f t="shared" si="68"/>
        <v>0</v>
      </c>
      <c r="X99" s="650"/>
      <c r="Y99" s="649">
        <f t="shared" si="69"/>
        <v>0</v>
      </c>
      <c r="Z99" s="650"/>
      <c r="AA99" s="649">
        <f t="shared" si="70"/>
        <v>0</v>
      </c>
      <c r="AB99" s="650"/>
      <c r="AC99" s="649">
        <f t="shared" si="71"/>
        <v>0</v>
      </c>
      <c r="AD99" s="650"/>
      <c r="AE99" s="649">
        <f t="shared" si="72"/>
        <v>0</v>
      </c>
      <c r="AF99" s="650"/>
      <c r="AG99" s="649">
        <f t="shared" si="73"/>
        <v>0</v>
      </c>
      <c r="AH99" s="650"/>
      <c r="AI99" s="649">
        <f t="shared" si="74"/>
        <v>0</v>
      </c>
      <c r="AJ99" s="650"/>
      <c r="AK99" s="649">
        <f t="shared" si="75"/>
        <v>0</v>
      </c>
      <c r="AL99" s="650"/>
      <c r="AM99" s="649">
        <f t="shared" si="76"/>
        <v>0</v>
      </c>
      <c r="AN99" s="650"/>
      <c r="AO99" s="649">
        <f t="shared" si="77"/>
        <v>0</v>
      </c>
      <c r="AP99" s="650"/>
      <c r="AQ99" s="649">
        <f t="shared" si="78"/>
        <v>0</v>
      </c>
      <c r="AR99" s="650"/>
      <c r="AS99" s="651">
        <f t="shared" si="79"/>
        <v>0</v>
      </c>
      <c r="AT99" s="652"/>
      <c r="AU99" s="141">
        <f t="shared" si="92"/>
        <v>0</v>
      </c>
      <c r="AV99" s="141">
        <f t="shared" si="93"/>
        <v>0</v>
      </c>
      <c r="AW99" s="141">
        <f t="shared" si="94"/>
        <v>0</v>
      </c>
      <c r="AX99" s="141">
        <f t="shared" si="95"/>
        <v>0</v>
      </c>
      <c r="AY99" s="141">
        <f t="shared" si="96"/>
        <v>0</v>
      </c>
      <c r="AZ99" s="141">
        <f t="shared" si="97"/>
        <v>0</v>
      </c>
      <c r="BA99" s="141">
        <f t="shared" si="98"/>
        <v>0</v>
      </c>
      <c r="BB99" s="141">
        <f t="shared" si="99"/>
        <v>0</v>
      </c>
      <c r="BC99" s="141">
        <f t="shared" si="100"/>
        <v>0</v>
      </c>
      <c r="BD99" s="141">
        <f t="shared" si="101"/>
        <v>0</v>
      </c>
      <c r="BE99" s="141">
        <f t="shared" si="102"/>
        <v>0</v>
      </c>
      <c r="BF99" s="141">
        <f t="shared" si="103"/>
        <v>0</v>
      </c>
      <c r="BG99" s="141">
        <f t="shared" si="80"/>
        <v>0</v>
      </c>
      <c r="BH99" s="141">
        <f t="shared" si="81"/>
        <v>0</v>
      </c>
      <c r="BI99" s="141">
        <f t="shared" si="104"/>
        <v>0</v>
      </c>
      <c r="BJ99" s="147">
        <f t="shared" si="82"/>
        <v>0</v>
      </c>
      <c r="BK99" s="141">
        <f t="shared" si="83"/>
        <v>0</v>
      </c>
      <c r="BL99" s="141">
        <f t="shared" si="84"/>
        <v>0</v>
      </c>
      <c r="BM99" s="141">
        <f t="shared" si="85"/>
        <v>0</v>
      </c>
      <c r="BN99" s="141">
        <f t="shared" si="86"/>
        <v>0</v>
      </c>
      <c r="BO99" s="141">
        <f t="shared" si="87"/>
        <v>0</v>
      </c>
      <c r="BP99" s="141">
        <f t="shared" si="88"/>
        <v>0</v>
      </c>
      <c r="BS99" s="153"/>
      <c r="BT99" s="177"/>
      <c r="BU99" s="173"/>
      <c r="BV99" s="174"/>
      <c r="BW99" s="171"/>
      <c r="BX99" s="174"/>
      <c r="BY99" s="171"/>
      <c r="BZ99" s="174"/>
      <c r="CA99" s="174"/>
      <c r="CB99" s="176"/>
      <c r="CC99" s="176"/>
      <c r="CF99" s="166" t="e">
        <f t="shared" si="63"/>
        <v>#REF!</v>
      </c>
      <c r="CG99" s="166" t="s">
        <v>200</v>
      </c>
      <c r="CH99" s="166" t="e">
        <f>#REF!</f>
        <v>#REF!</v>
      </c>
      <c r="CI99" s="178" t="e">
        <f>#REF!</f>
        <v>#REF!</v>
      </c>
      <c r="CJ99" s="179">
        <v>739</v>
      </c>
      <c r="CK99" s="179" t="e">
        <f t="shared" si="64"/>
        <v>#REF!</v>
      </c>
    </row>
    <row r="100" spans="2:89" s="108" customFormat="1" hidden="1">
      <c r="B100" s="109"/>
      <c r="C100" s="141" t="e">
        <f t="shared" si="60"/>
        <v>#NUM!</v>
      </c>
      <c r="D100" s="141">
        <f t="shared" si="65"/>
        <v>0</v>
      </c>
      <c r="E100" s="141"/>
      <c r="F100" s="142">
        <f t="shared" si="89"/>
        <v>0</v>
      </c>
      <c r="G100" s="143" t="s">
        <v>146</v>
      </c>
      <c r="H100" s="80">
        <f t="shared" si="66"/>
        <v>0</v>
      </c>
      <c r="I100" s="80" t="str">
        <f t="shared" si="90"/>
        <v/>
      </c>
      <c r="J100" s="144"/>
      <c r="K100" s="144"/>
      <c r="L100" s="144"/>
      <c r="M100" s="76"/>
      <c r="N100" s="77"/>
      <c r="O100" s="145"/>
      <c r="P100" s="77">
        <f t="shared" si="106"/>
        <v>0</v>
      </c>
      <c r="Q100" s="78"/>
      <c r="R100" s="79"/>
      <c r="S100" s="146">
        <f t="shared" si="61"/>
        <v>0</v>
      </c>
      <c r="T100" s="141" t="b">
        <f t="shared" si="105"/>
        <v>0</v>
      </c>
      <c r="U100" s="649">
        <f t="shared" si="67"/>
        <v>0</v>
      </c>
      <c r="V100" s="650"/>
      <c r="W100" s="649">
        <f t="shared" si="68"/>
        <v>0</v>
      </c>
      <c r="X100" s="650"/>
      <c r="Y100" s="649">
        <f t="shared" si="69"/>
        <v>0</v>
      </c>
      <c r="Z100" s="650"/>
      <c r="AA100" s="649">
        <f t="shared" si="70"/>
        <v>0</v>
      </c>
      <c r="AB100" s="650"/>
      <c r="AC100" s="649">
        <f t="shared" si="71"/>
        <v>0</v>
      </c>
      <c r="AD100" s="650"/>
      <c r="AE100" s="649">
        <f t="shared" si="72"/>
        <v>0</v>
      </c>
      <c r="AF100" s="650"/>
      <c r="AG100" s="649">
        <f t="shared" si="73"/>
        <v>0</v>
      </c>
      <c r="AH100" s="650"/>
      <c r="AI100" s="649">
        <f t="shared" si="74"/>
        <v>0</v>
      </c>
      <c r="AJ100" s="650"/>
      <c r="AK100" s="649">
        <f t="shared" si="75"/>
        <v>0</v>
      </c>
      <c r="AL100" s="650"/>
      <c r="AM100" s="649">
        <f t="shared" si="76"/>
        <v>0</v>
      </c>
      <c r="AN100" s="650"/>
      <c r="AO100" s="649">
        <f t="shared" si="77"/>
        <v>0</v>
      </c>
      <c r="AP100" s="650"/>
      <c r="AQ100" s="649">
        <f t="shared" si="78"/>
        <v>0</v>
      </c>
      <c r="AR100" s="650"/>
      <c r="AS100" s="651">
        <f t="shared" si="79"/>
        <v>0</v>
      </c>
      <c r="AT100" s="652"/>
      <c r="AU100" s="141">
        <f t="shared" si="92"/>
        <v>0</v>
      </c>
      <c r="AV100" s="141">
        <f t="shared" si="93"/>
        <v>0</v>
      </c>
      <c r="AW100" s="141">
        <f t="shared" si="94"/>
        <v>0</v>
      </c>
      <c r="AX100" s="141">
        <f t="shared" si="95"/>
        <v>0</v>
      </c>
      <c r="AY100" s="141">
        <f t="shared" si="96"/>
        <v>0</v>
      </c>
      <c r="AZ100" s="141">
        <f t="shared" si="97"/>
        <v>0</v>
      </c>
      <c r="BA100" s="141">
        <f t="shared" si="98"/>
        <v>0</v>
      </c>
      <c r="BB100" s="141">
        <f t="shared" si="99"/>
        <v>0</v>
      </c>
      <c r="BC100" s="141">
        <f t="shared" si="100"/>
        <v>0</v>
      </c>
      <c r="BD100" s="141">
        <f t="shared" si="101"/>
        <v>0</v>
      </c>
      <c r="BE100" s="141">
        <f t="shared" si="102"/>
        <v>0</v>
      </c>
      <c r="BF100" s="141">
        <f t="shared" si="103"/>
        <v>0</v>
      </c>
      <c r="BG100" s="141">
        <f t="shared" si="80"/>
        <v>0</v>
      </c>
      <c r="BH100" s="141">
        <f t="shared" si="81"/>
        <v>0</v>
      </c>
      <c r="BI100" s="141">
        <f t="shared" si="104"/>
        <v>0</v>
      </c>
      <c r="BJ100" s="147">
        <f t="shared" si="82"/>
        <v>0</v>
      </c>
      <c r="BK100" s="141">
        <f t="shared" si="83"/>
        <v>0</v>
      </c>
      <c r="BL100" s="141">
        <f t="shared" si="84"/>
        <v>0</v>
      </c>
      <c r="BM100" s="141">
        <f t="shared" si="85"/>
        <v>0</v>
      </c>
      <c r="BN100" s="141">
        <f t="shared" si="86"/>
        <v>0</v>
      </c>
      <c r="BO100" s="141">
        <f t="shared" si="87"/>
        <v>0</v>
      </c>
      <c r="BP100" s="141">
        <f t="shared" si="88"/>
        <v>0</v>
      </c>
      <c r="BS100" s="153"/>
      <c r="BT100" s="177"/>
      <c r="BU100" s="173"/>
      <c r="BV100" s="174"/>
      <c r="BW100" s="171"/>
      <c r="BX100" s="174"/>
      <c r="BY100" s="171"/>
      <c r="BZ100" s="174"/>
      <c r="CA100" s="174"/>
      <c r="CB100" s="176"/>
      <c r="CC100" s="176"/>
      <c r="CF100" s="166" t="e">
        <f t="shared" si="63"/>
        <v>#REF!</v>
      </c>
      <c r="CG100" s="166" t="s">
        <v>200</v>
      </c>
      <c r="CH100" s="166" t="e">
        <f>#REF!</f>
        <v>#REF!</v>
      </c>
      <c r="CI100" s="178" t="e">
        <f>#REF!</f>
        <v>#REF!</v>
      </c>
      <c r="CJ100" s="179">
        <v>839</v>
      </c>
      <c r="CK100" s="179" t="e">
        <f t="shared" si="64"/>
        <v>#REF!</v>
      </c>
    </row>
    <row r="101" spans="2:89" s="108" customFormat="1" hidden="1">
      <c r="B101" s="109"/>
      <c r="C101" s="141" t="e">
        <f t="shared" si="60"/>
        <v>#NUM!</v>
      </c>
      <c r="D101" s="141">
        <f t="shared" si="65"/>
        <v>0</v>
      </c>
      <c r="E101" s="141" t="str">
        <f>IFERROR(DGET($BV$30:$CC$82,F101,G100:G101),"")</f>
        <v/>
      </c>
      <c r="F101" s="142">
        <f t="shared" si="89"/>
        <v>0</v>
      </c>
      <c r="G101" s="142" t="b">
        <f>IF(Q101&gt;0,IF(AND(S101&gt;0,S101&lt;2),CONCATENATE(Q101," ","0-2"),IF(AND(S101&gt;=2,S101&lt;8),CONCATENATE(Q101," ","2-8"),)))</f>
        <v>0</v>
      </c>
      <c r="H101" s="80">
        <f t="shared" si="66"/>
        <v>0</v>
      </c>
      <c r="I101" s="80" t="str">
        <f t="shared" si="90"/>
        <v/>
      </c>
      <c r="J101" s="76"/>
      <c r="K101" s="76"/>
      <c r="L101" s="76"/>
      <c r="M101" s="80"/>
      <c r="N101" s="79"/>
      <c r="O101" s="148"/>
      <c r="P101" s="77">
        <f t="shared" si="106"/>
        <v>0</v>
      </c>
      <c r="Q101" s="81"/>
      <c r="R101" s="77"/>
      <c r="S101" s="146">
        <f t="shared" si="61"/>
        <v>0</v>
      </c>
      <c r="T101" s="141" t="b">
        <f t="shared" si="105"/>
        <v>0</v>
      </c>
      <c r="U101" s="649">
        <f t="shared" si="67"/>
        <v>0</v>
      </c>
      <c r="V101" s="650"/>
      <c r="W101" s="649">
        <f t="shared" si="68"/>
        <v>0</v>
      </c>
      <c r="X101" s="650"/>
      <c r="Y101" s="649">
        <f t="shared" si="69"/>
        <v>0</v>
      </c>
      <c r="Z101" s="650"/>
      <c r="AA101" s="649">
        <f t="shared" si="70"/>
        <v>0</v>
      </c>
      <c r="AB101" s="650"/>
      <c r="AC101" s="649">
        <f t="shared" si="71"/>
        <v>0</v>
      </c>
      <c r="AD101" s="650"/>
      <c r="AE101" s="649">
        <f t="shared" si="72"/>
        <v>0</v>
      </c>
      <c r="AF101" s="650"/>
      <c r="AG101" s="649">
        <f t="shared" si="73"/>
        <v>0</v>
      </c>
      <c r="AH101" s="650"/>
      <c r="AI101" s="649">
        <f t="shared" si="74"/>
        <v>0</v>
      </c>
      <c r="AJ101" s="650"/>
      <c r="AK101" s="649">
        <f t="shared" si="75"/>
        <v>0</v>
      </c>
      <c r="AL101" s="650"/>
      <c r="AM101" s="649">
        <f t="shared" si="76"/>
        <v>0</v>
      </c>
      <c r="AN101" s="650"/>
      <c r="AO101" s="649">
        <f t="shared" si="77"/>
        <v>0</v>
      </c>
      <c r="AP101" s="650"/>
      <c r="AQ101" s="649">
        <f t="shared" si="78"/>
        <v>0</v>
      </c>
      <c r="AR101" s="650"/>
      <c r="AS101" s="651">
        <f t="shared" si="79"/>
        <v>0</v>
      </c>
      <c r="AT101" s="652"/>
      <c r="AU101" s="141">
        <f t="shared" si="92"/>
        <v>0</v>
      </c>
      <c r="AV101" s="141">
        <f t="shared" si="93"/>
        <v>0</v>
      </c>
      <c r="AW101" s="141">
        <f t="shared" si="94"/>
        <v>0</v>
      </c>
      <c r="AX101" s="141">
        <f t="shared" si="95"/>
        <v>0</v>
      </c>
      <c r="AY101" s="141">
        <f t="shared" si="96"/>
        <v>0</v>
      </c>
      <c r="AZ101" s="141">
        <f t="shared" si="97"/>
        <v>0</v>
      </c>
      <c r="BA101" s="141">
        <f t="shared" si="98"/>
        <v>0</v>
      </c>
      <c r="BB101" s="141">
        <f t="shared" si="99"/>
        <v>0</v>
      </c>
      <c r="BC101" s="141">
        <f t="shared" si="100"/>
        <v>0</v>
      </c>
      <c r="BD101" s="141">
        <f t="shared" si="101"/>
        <v>0</v>
      </c>
      <c r="BE101" s="141">
        <f t="shared" si="102"/>
        <v>0</v>
      </c>
      <c r="BF101" s="141">
        <f t="shared" si="103"/>
        <v>0</v>
      </c>
      <c r="BG101" s="141">
        <f t="shared" si="80"/>
        <v>0</v>
      </c>
      <c r="BH101" s="141">
        <f t="shared" si="81"/>
        <v>0</v>
      </c>
      <c r="BI101" s="141">
        <f t="shared" si="104"/>
        <v>0</v>
      </c>
      <c r="BJ101" s="147">
        <f t="shared" si="82"/>
        <v>0</v>
      </c>
      <c r="BK101" s="141">
        <f t="shared" si="83"/>
        <v>0</v>
      </c>
      <c r="BL101" s="141">
        <f t="shared" si="84"/>
        <v>0</v>
      </c>
      <c r="BM101" s="141">
        <f t="shared" si="85"/>
        <v>0</v>
      </c>
      <c r="BN101" s="141">
        <f t="shared" si="86"/>
        <v>0</v>
      </c>
      <c r="BO101" s="141">
        <f t="shared" si="87"/>
        <v>0</v>
      </c>
      <c r="BP101" s="141">
        <f t="shared" si="88"/>
        <v>0</v>
      </c>
      <c r="BS101" s="153"/>
      <c r="BT101" s="177"/>
      <c r="BU101" s="173"/>
      <c r="BV101" s="174"/>
      <c r="BW101" s="171"/>
      <c r="BX101" s="174"/>
      <c r="BY101" s="171"/>
      <c r="BZ101" s="174"/>
      <c r="CA101" s="174"/>
      <c r="CB101" s="176"/>
      <c r="CC101" s="176"/>
      <c r="CF101" s="166" t="e">
        <f t="shared" si="63"/>
        <v>#REF!</v>
      </c>
      <c r="CG101" s="166" t="s">
        <v>200</v>
      </c>
      <c r="CH101" s="166" t="e">
        <f>#REF!</f>
        <v>#REF!</v>
      </c>
      <c r="CI101" s="178" t="e">
        <f>#REF!</f>
        <v>#REF!</v>
      </c>
      <c r="CJ101" s="179">
        <v>939</v>
      </c>
      <c r="CK101" s="179" t="e">
        <f t="shared" si="64"/>
        <v>#REF!</v>
      </c>
    </row>
    <row r="102" spans="2:89" s="108" customFormat="1" hidden="1">
      <c r="B102" s="109"/>
      <c r="C102" s="141" t="e">
        <f t="shared" si="60"/>
        <v>#NUM!</v>
      </c>
      <c r="D102" s="141">
        <f t="shared" si="65"/>
        <v>0</v>
      </c>
      <c r="E102" s="141"/>
      <c r="F102" s="142">
        <f t="shared" si="89"/>
        <v>0</v>
      </c>
      <c r="G102" s="143" t="s">
        <v>146</v>
      </c>
      <c r="H102" s="80">
        <f t="shared" si="66"/>
        <v>0</v>
      </c>
      <c r="I102" s="80" t="str">
        <f t="shared" si="90"/>
        <v/>
      </c>
      <c r="J102" s="144"/>
      <c r="K102" s="144"/>
      <c r="L102" s="144"/>
      <c r="M102" s="76"/>
      <c r="N102" s="77"/>
      <c r="O102" s="145"/>
      <c r="P102" s="77">
        <f t="shared" ref="P102:P108" si="107">SQRT(((N102*O102)^2)+(N102^2))</f>
        <v>0</v>
      </c>
      <c r="Q102" s="78"/>
      <c r="R102" s="79"/>
      <c r="S102" s="146">
        <f t="shared" si="61"/>
        <v>0</v>
      </c>
      <c r="T102" s="141" t="b">
        <f t="shared" si="105"/>
        <v>0</v>
      </c>
      <c r="U102" s="649">
        <f t="shared" si="67"/>
        <v>0</v>
      </c>
      <c r="V102" s="650"/>
      <c r="W102" s="649">
        <f t="shared" si="68"/>
        <v>0</v>
      </c>
      <c r="X102" s="650"/>
      <c r="Y102" s="649">
        <f t="shared" si="69"/>
        <v>0</v>
      </c>
      <c r="Z102" s="650"/>
      <c r="AA102" s="649">
        <f t="shared" si="70"/>
        <v>0</v>
      </c>
      <c r="AB102" s="650"/>
      <c r="AC102" s="649">
        <f t="shared" si="71"/>
        <v>0</v>
      </c>
      <c r="AD102" s="650"/>
      <c r="AE102" s="649">
        <f t="shared" si="72"/>
        <v>0</v>
      </c>
      <c r="AF102" s="650"/>
      <c r="AG102" s="649">
        <f t="shared" si="73"/>
        <v>0</v>
      </c>
      <c r="AH102" s="650"/>
      <c r="AI102" s="649">
        <f t="shared" si="74"/>
        <v>0</v>
      </c>
      <c r="AJ102" s="650"/>
      <c r="AK102" s="649">
        <f t="shared" si="75"/>
        <v>0</v>
      </c>
      <c r="AL102" s="650"/>
      <c r="AM102" s="649">
        <f t="shared" si="76"/>
        <v>0</v>
      </c>
      <c r="AN102" s="650"/>
      <c r="AO102" s="649">
        <f t="shared" si="77"/>
        <v>0</v>
      </c>
      <c r="AP102" s="650"/>
      <c r="AQ102" s="649">
        <f t="shared" si="78"/>
        <v>0</v>
      </c>
      <c r="AR102" s="650"/>
      <c r="AS102" s="651">
        <f t="shared" si="79"/>
        <v>0</v>
      </c>
      <c r="AT102" s="652"/>
      <c r="AU102" s="141">
        <f t="shared" si="92"/>
        <v>0</v>
      </c>
      <c r="AV102" s="141">
        <f t="shared" si="93"/>
        <v>0</v>
      </c>
      <c r="AW102" s="141">
        <f t="shared" si="94"/>
        <v>0</v>
      </c>
      <c r="AX102" s="141">
        <f t="shared" si="95"/>
        <v>0</v>
      </c>
      <c r="AY102" s="141">
        <f t="shared" si="96"/>
        <v>0</v>
      </c>
      <c r="AZ102" s="141">
        <f t="shared" si="97"/>
        <v>0</v>
      </c>
      <c r="BA102" s="141">
        <f t="shared" si="98"/>
        <v>0</v>
      </c>
      <c r="BB102" s="141">
        <f t="shared" si="99"/>
        <v>0</v>
      </c>
      <c r="BC102" s="141">
        <f t="shared" si="100"/>
        <v>0</v>
      </c>
      <c r="BD102" s="141">
        <f t="shared" si="101"/>
        <v>0</v>
      </c>
      <c r="BE102" s="141">
        <f t="shared" si="102"/>
        <v>0</v>
      </c>
      <c r="BF102" s="141">
        <f t="shared" si="103"/>
        <v>0</v>
      </c>
      <c r="BG102" s="141">
        <f t="shared" si="80"/>
        <v>0</v>
      </c>
      <c r="BH102" s="141">
        <f t="shared" si="81"/>
        <v>0</v>
      </c>
      <c r="BI102" s="141">
        <f t="shared" si="104"/>
        <v>0</v>
      </c>
      <c r="BJ102" s="147">
        <f t="shared" si="82"/>
        <v>0</v>
      </c>
      <c r="BK102" s="141">
        <f t="shared" si="83"/>
        <v>0</v>
      </c>
      <c r="BL102" s="141">
        <f t="shared" si="84"/>
        <v>0</v>
      </c>
      <c r="BM102" s="141">
        <f t="shared" si="85"/>
        <v>0</v>
      </c>
      <c r="BN102" s="141">
        <f t="shared" si="86"/>
        <v>0</v>
      </c>
      <c r="BO102" s="141">
        <f t="shared" si="87"/>
        <v>0</v>
      </c>
      <c r="BP102" s="141">
        <f t="shared" si="88"/>
        <v>0</v>
      </c>
      <c r="BS102" s="153"/>
      <c r="BT102" s="177"/>
      <c r="BU102" s="173"/>
      <c r="BV102" s="174"/>
      <c r="BW102" s="171"/>
      <c r="BX102" s="174"/>
      <c r="BY102" s="171"/>
      <c r="BZ102" s="174"/>
      <c r="CA102" s="174"/>
      <c r="CB102" s="176"/>
      <c r="CC102" s="176"/>
      <c r="CF102" s="166" t="e">
        <f t="shared" si="63"/>
        <v>#REF!</v>
      </c>
      <c r="CG102" s="166" t="s">
        <v>200</v>
      </c>
      <c r="CH102" s="166" t="e">
        <f>#REF!</f>
        <v>#REF!</v>
      </c>
      <c r="CI102" s="178" t="e">
        <f>#REF!</f>
        <v>#REF!</v>
      </c>
      <c r="CJ102" s="179">
        <v>1046</v>
      </c>
      <c r="CK102" s="179" t="e">
        <f t="shared" si="64"/>
        <v>#REF!</v>
      </c>
    </row>
    <row r="103" spans="2:89" s="108" customFormat="1" hidden="1">
      <c r="B103" s="109"/>
      <c r="C103" s="141" t="e">
        <f t="shared" si="60"/>
        <v>#NUM!</v>
      </c>
      <c r="D103" s="141">
        <f t="shared" si="65"/>
        <v>0</v>
      </c>
      <c r="E103" s="141" t="str">
        <f>IFERROR(DGET($BV$30:$CC$82,F103,G102:G103),"")</f>
        <v/>
      </c>
      <c r="F103" s="142">
        <f t="shared" si="89"/>
        <v>0</v>
      </c>
      <c r="G103" s="142" t="b">
        <f>IF(Q103&gt;0,IF(AND(S103&gt;0,S103&lt;2),CONCATENATE(Q103," ","0-2"),IF(AND(S103&gt;=2,S103&lt;8),CONCATENATE(Q103," ","2-8"),)))</f>
        <v>0</v>
      </c>
      <c r="H103" s="80">
        <f t="shared" si="66"/>
        <v>0</v>
      </c>
      <c r="I103" s="80" t="str">
        <f t="shared" si="90"/>
        <v/>
      </c>
      <c r="J103" s="76"/>
      <c r="K103" s="76"/>
      <c r="L103" s="76"/>
      <c r="M103" s="80"/>
      <c r="N103" s="79"/>
      <c r="O103" s="148"/>
      <c r="P103" s="77">
        <f t="shared" si="107"/>
        <v>0</v>
      </c>
      <c r="Q103" s="81"/>
      <c r="R103" s="77"/>
      <c r="S103" s="146">
        <f t="shared" si="61"/>
        <v>0</v>
      </c>
      <c r="T103" s="141" t="b">
        <f t="shared" si="105"/>
        <v>0</v>
      </c>
      <c r="U103" s="649">
        <f t="shared" si="67"/>
        <v>0</v>
      </c>
      <c r="V103" s="650"/>
      <c r="W103" s="649">
        <f t="shared" si="68"/>
        <v>0</v>
      </c>
      <c r="X103" s="650"/>
      <c r="Y103" s="649">
        <f t="shared" si="69"/>
        <v>0</v>
      </c>
      <c r="Z103" s="650"/>
      <c r="AA103" s="649">
        <f t="shared" si="70"/>
        <v>0</v>
      </c>
      <c r="AB103" s="650"/>
      <c r="AC103" s="649">
        <f t="shared" si="71"/>
        <v>0</v>
      </c>
      <c r="AD103" s="650"/>
      <c r="AE103" s="649">
        <f t="shared" si="72"/>
        <v>0</v>
      </c>
      <c r="AF103" s="650"/>
      <c r="AG103" s="649">
        <f t="shared" si="73"/>
        <v>0</v>
      </c>
      <c r="AH103" s="650"/>
      <c r="AI103" s="649">
        <f t="shared" si="74"/>
        <v>0</v>
      </c>
      <c r="AJ103" s="650"/>
      <c r="AK103" s="649">
        <f t="shared" si="75"/>
        <v>0</v>
      </c>
      <c r="AL103" s="650"/>
      <c r="AM103" s="649">
        <f t="shared" si="76"/>
        <v>0</v>
      </c>
      <c r="AN103" s="650"/>
      <c r="AO103" s="649">
        <f t="shared" si="77"/>
        <v>0</v>
      </c>
      <c r="AP103" s="650"/>
      <c r="AQ103" s="649">
        <f t="shared" si="78"/>
        <v>0</v>
      </c>
      <c r="AR103" s="650"/>
      <c r="AS103" s="651">
        <f t="shared" si="79"/>
        <v>0</v>
      </c>
      <c r="AT103" s="652"/>
      <c r="AU103" s="141">
        <f t="shared" si="92"/>
        <v>0</v>
      </c>
      <c r="AV103" s="141">
        <f t="shared" si="93"/>
        <v>0</v>
      </c>
      <c r="AW103" s="141">
        <f t="shared" si="94"/>
        <v>0</v>
      </c>
      <c r="AX103" s="141">
        <f t="shared" si="95"/>
        <v>0</v>
      </c>
      <c r="AY103" s="141">
        <f t="shared" si="96"/>
        <v>0</v>
      </c>
      <c r="AZ103" s="141">
        <f t="shared" si="97"/>
        <v>0</v>
      </c>
      <c r="BA103" s="141">
        <f t="shared" si="98"/>
        <v>0</v>
      </c>
      <c r="BB103" s="141">
        <f t="shared" si="99"/>
        <v>0</v>
      </c>
      <c r="BC103" s="141">
        <f t="shared" si="100"/>
        <v>0</v>
      </c>
      <c r="BD103" s="141">
        <f t="shared" si="101"/>
        <v>0</v>
      </c>
      <c r="BE103" s="141">
        <f t="shared" si="102"/>
        <v>0</v>
      </c>
      <c r="BF103" s="141">
        <f t="shared" si="103"/>
        <v>0</v>
      </c>
      <c r="BG103" s="141">
        <f t="shared" si="80"/>
        <v>0</v>
      </c>
      <c r="BH103" s="141">
        <f t="shared" si="81"/>
        <v>0</v>
      </c>
      <c r="BI103" s="141">
        <f t="shared" si="104"/>
        <v>0</v>
      </c>
      <c r="BJ103" s="147">
        <f t="shared" si="82"/>
        <v>0</v>
      </c>
      <c r="BK103" s="141">
        <f t="shared" si="83"/>
        <v>0</v>
      </c>
      <c r="BL103" s="141">
        <f t="shared" si="84"/>
        <v>0</v>
      </c>
      <c r="BM103" s="141">
        <f t="shared" si="85"/>
        <v>0</v>
      </c>
      <c r="BN103" s="141">
        <f t="shared" si="86"/>
        <v>0</v>
      </c>
      <c r="BO103" s="141">
        <f t="shared" si="87"/>
        <v>0</v>
      </c>
      <c r="BP103" s="141">
        <f t="shared" si="88"/>
        <v>0</v>
      </c>
      <c r="BS103" s="153"/>
      <c r="BT103" s="177"/>
      <c r="BU103" s="173"/>
      <c r="BV103" s="174"/>
      <c r="BW103" s="171"/>
      <c r="BX103" s="174"/>
      <c r="BY103" s="171"/>
      <c r="BZ103" s="174"/>
      <c r="CA103" s="174"/>
      <c r="CB103" s="176"/>
      <c r="CC103" s="176"/>
      <c r="CF103" s="166" t="e">
        <f t="shared" si="63"/>
        <v>#REF!</v>
      </c>
      <c r="CG103" s="166" t="s">
        <v>200</v>
      </c>
      <c r="CH103" s="166" t="e">
        <f>#REF!</f>
        <v>#REF!</v>
      </c>
      <c r="CI103" s="178" t="e">
        <f>#REF!</f>
        <v>#REF!</v>
      </c>
      <c r="CJ103" s="179">
        <v>1146</v>
      </c>
      <c r="CK103" s="179" t="e">
        <f t="shared" si="64"/>
        <v>#REF!</v>
      </c>
    </row>
    <row r="104" spans="2:89" s="108" customFormat="1" hidden="1">
      <c r="B104" s="109"/>
      <c r="C104" s="141" t="e">
        <f t="shared" si="60"/>
        <v>#NUM!</v>
      </c>
      <c r="D104" s="141">
        <f t="shared" si="65"/>
        <v>0</v>
      </c>
      <c r="E104" s="141"/>
      <c r="F104" s="142">
        <f t="shared" si="89"/>
        <v>0</v>
      </c>
      <c r="G104" s="143" t="s">
        <v>146</v>
      </c>
      <c r="H104" s="80">
        <f t="shared" si="66"/>
        <v>0</v>
      </c>
      <c r="I104" s="80" t="str">
        <f t="shared" si="90"/>
        <v/>
      </c>
      <c r="J104" s="144"/>
      <c r="K104" s="144"/>
      <c r="L104" s="144"/>
      <c r="M104" s="76"/>
      <c r="N104" s="77"/>
      <c r="O104" s="145"/>
      <c r="P104" s="77">
        <f t="shared" si="107"/>
        <v>0</v>
      </c>
      <c r="Q104" s="78"/>
      <c r="R104" s="79"/>
      <c r="S104" s="146">
        <f t="shared" si="61"/>
        <v>0</v>
      </c>
      <c r="T104" s="141" t="b">
        <f t="shared" si="105"/>
        <v>0</v>
      </c>
      <c r="U104" s="649">
        <f t="shared" si="67"/>
        <v>0</v>
      </c>
      <c r="V104" s="650"/>
      <c r="W104" s="649">
        <f t="shared" si="68"/>
        <v>0</v>
      </c>
      <c r="X104" s="650"/>
      <c r="Y104" s="649">
        <f t="shared" si="69"/>
        <v>0</v>
      </c>
      <c r="Z104" s="650"/>
      <c r="AA104" s="649">
        <f t="shared" si="70"/>
        <v>0</v>
      </c>
      <c r="AB104" s="650"/>
      <c r="AC104" s="649">
        <f t="shared" si="71"/>
        <v>0</v>
      </c>
      <c r="AD104" s="650"/>
      <c r="AE104" s="649">
        <f t="shared" si="72"/>
        <v>0</v>
      </c>
      <c r="AF104" s="650"/>
      <c r="AG104" s="649">
        <f t="shared" si="73"/>
        <v>0</v>
      </c>
      <c r="AH104" s="650"/>
      <c r="AI104" s="649">
        <f t="shared" si="74"/>
        <v>0</v>
      </c>
      <c r="AJ104" s="650"/>
      <c r="AK104" s="649">
        <f t="shared" si="75"/>
        <v>0</v>
      </c>
      <c r="AL104" s="650"/>
      <c r="AM104" s="649">
        <f t="shared" si="76"/>
        <v>0</v>
      </c>
      <c r="AN104" s="650"/>
      <c r="AO104" s="649">
        <f t="shared" si="77"/>
        <v>0</v>
      </c>
      <c r="AP104" s="650"/>
      <c r="AQ104" s="649">
        <f t="shared" si="78"/>
        <v>0</v>
      </c>
      <c r="AR104" s="650"/>
      <c r="AS104" s="651">
        <f t="shared" si="79"/>
        <v>0</v>
      </c>
      <c r="AT104" s="652"/>
      <c r="AU104" s="141">
        <f t="shared" si="92"/>
        <v>0</v>
      </c>
      <c r="AV104" s="141">
        <f t="shared" si="93"/>
        <v>0</v>
      </c>
      <c r="AW104" s="141">
        <f t="shared" si="94"/>
        <v>0</v>
      </c>
      <c r="AX104" s="141">
        <f t="shared" si="95"/>
        <v>0</v>
      </c>
      <c r="AY104" s="141">
        <f t="shared" si="96"/>
        <v>0</v>
      </c>
      <c r="AZ104" s="141">
        <f t="shared" si="97"/>
        <v>0</v>
      </c>
      <c r="BA104" s="141">
        <f t="shared" si="98"/>
        <v>0</v>
      </c>
      <c r="BB104" s="141">
        <f t="shared" si="99"/>
        <v>0</v>
      </c>
      <c r="BC104" s="141">
        <f t="shared" si="100"/>
        <v>0</v>
      </c>
      <c r="BD104" s="141">
        <f t="shared" si="101"/>
        <v>0</v>
      </c>
      <c r="BE104" s="141">
        <f t="shared" si="102"/>
        <v>0</v>
      </c>
      <c r="BF104" s="141">
        <f t="shared" si="103"/>
        <v>0</v>
      </c>
      <c r="BG104" s="141">
        <f t="shared" si="80"/>
        <v>0</v>
      </c>
      <c r="BH104" s="141">
        <f t="shared" si="81"/>
        <v>0</v>
      </c>
      <c r="BI104" s="141">
        <f t="shared" si="104"/>
        <v>0</v>
      </c>
      <c r="BJ104" s="147">
        <f t="shared" si="82"/>
        <v>0</v>
      </c>
      <c r="BK104" s="141">
        <f t="shared" si="83"/>
        <v>0</v>
      </c>
      <c r="BL104" s="141">
        <f t="shared" si="84"/>
        <v>0</v>
      </c>
      <c r="BM104" s="141">
        <f t="shared" si="85"/>
        <v>0</v>
      </c>
      <c r="BN104" s="141">
        <f t="shared" si="86"/>
        <v>0</v>
      </c>
      <c r="BO104" s="141">
        <f t="shared" si="87"/>
        <v>0</v>
      </c>
      <c r="BP104" s="141">
        <f t="shared" si="88"/>
        <v>0</v>
      </c>
      <c r="BS104" s="153"/>
      <c r="BT104" s="177"/>
      <c r="BU104" s="173"/>
      <c r="BV104" s="174"/>
      <c r="BW104" s="171"/>
      <c r="BX104" s="174"/>
      <c r="BY104" s="171"/>
      <c r="BZ104" s="174"/>
      <c r="CA104" s="174"/>
      <c r="CB104" s="176"/>
      <c r="CC104" s="176"/>
      <c r="CF104" s="166" t="e">
        <f t="shared" si="63"/>
        <v>#REF!</v>
      </c>
      <c r="CG104" s="166" t="s">
        <v>200</v>
      </c>
      <c r="CH104" s="166" t="e">
        <f>#REF!</f>
        <v>#REF!</v>
      </c>
      <c r="CI104" s="178" t="e">
        <f>#REF!</f>
        <v>#REF!</v>
      </c>
      <c r="CJ104" s="179">
        <v>1246</v>
      </c>
      <c r="CK104" s="179" t="e">
        <f t="shared" si="64"/>
        <v>#REF!</v>
      </c>
    </row>
    <row r="105" spans="2:89" s="108" customFormat="1" hidden="1">
      <c r="B105" s="109"/>
      <c r="C105" s="141" t="e">
        <f t="shared" si="60"/>
        <v>#NUM!</v>
      </c>
      <c r="D105" s="141">
        <f t="shared" si="65"/>
        <v>0</v>
      </c>
      <c r="E105" s="141" t="str">
        <f>IFERROR(DGET($BV$30:$CC$82,F105,G104:G105),"")</f>
        <v/>
      </c>
      <c r="F105" s="142">
        <f t="shared" si="89"/>
        <v>0</v>
      </c>
      <c r="G105" s="142" t="b">
        <f>IF(Q105&gt;0,IF(AND(S105&gt;0,S105&lt;2),CONCATENATE(Q105," ","0-2"),IF(AND(S105&gt;=2,S105&lt;8),CONCATENATE(Q105," ","2-8"),)))</f>
        <v>0</v>
      </c>
      <c r="H105" s="80">
        <f t="shared" si="66"/>
        <v>0</v>
      </c>
      <c r="I105" s="80" t="str">
        <f t="shared" si="90"/>
        <v/>
      </c>
      <c r="J105" s="76"/>
      <c r="K105" s="76"/>
      <c r="L105" s="76"/>
      <c r="M105" s="80"/>
      <c r="N105" s="79"/>
      <c r="O105" s="148"/>
      <c r="P105" s="77">
        <f t="shared" si="107"/>
        <v>0</v>
      </c>
      <c r="Q105" s="81"/>
      <c r="R105" s="77"/>
      <c r="S105" s="146">
        <f t="shared" si="61"/>
        <v>0</v>
      </c>
      <c r="T105" s="141" t="b">
        <f t="shared" si="105"/>
        <v>0</v>
      </c>
      <c r="U105" s="649">
        <f t="shared" si="67"/>
        <v>0</v>
      </c>
      <c r="V105" s="650"/>
      <c r="W105" s="649">
        <f t="shared" si="68"/>
        <v>0</v>
      </c>
      <c r="X105" s="650"/>
      <c r="Y105" s="649">
        <f t="shared" si="69"/>
        <v>0</v>
      </c>
      <c r="Z105" s="650"/>
      <c r="AA105" s="649">
        <f t="shared" si="70"/>
        <v>0</v>
      </c>
      <c r="AB105" s="650"/>
      <c r="AC105" s="649">
        <f t="shared" si="71"/>
        <v>0</v>
      </c>
      <c r="AD105" s="650"/>
      <c r="AE105" s="649">
        <f t="shared" si="72"/>
        <v>0</v>
      </c>
      <c r="AF105" s="650"/>
      <c r="AG105" s="649">
        <f t="shared" si="73"/>
        <v>0</v>
      </c>
      <c r="AH105" s="650"/>
      <c r="AI105" s="649">
        <f t="shared" si="74"/>
        <v>0</v>
      </c>
      <c r="AJ105" s="650"/>
      <c r="AK105" s="649">
        <f t="shared" si="75"/>
        <v>0</v>
      </c>
      <c r="AL105" s="650"/>
      <c r="AM105" s="649">
        <f t="shared" si="76"/>
        <v>0</v>
      </c>
      <c r="AN105" s="650"/>
      <c r="AO105" s="649">
        <f t="shared" si="77"/>
        <v>0</v>
      </c>
      <c r="AP105" s="650"/>
      <c r="AQ105" s="649">
        <f t="shared" si="78"/>
        <v>0</v>
      </c>
      <c r="AR105" s="650"/>
      <c r="AS105" s="651">
        <f t="shared" si="79"/>
        <v>0</v>
      </c>
      <c r="AT105" s="652"/>
      <c r="AU105" s="141">
        <f t="shared" si="92"/>
        <v>0</v>
      </c>
      <c r="AV105" s="141">
        <f t="shared" si="93"/>
        <v>0</v>
      </c>
      <c r="AW105" s="141">
        <f t="shared" si="94"/>
        <v>0</v>
      </c>
      <c r="AX105" s="141">
        <f t="shared" si="95"/>
        <v>0</v>
      </c>
      <c r="AY105" s="141">
        <f t="shared" si="96"/>
        <v>0</v>
      </c>
      <c r="AZ105" s="141">
        <f t="shared" si="97"/>
        <v>0</v>
      </c>
      <c r="BA105" s="141">
        <f t="shared" si="98"/>
        <v>0</v>
      </c>
      <c r="BB105" s="141">
        <f t="shared" si="99"/>
        <v>0</v>
      </c>
      <c r="BC105" s="141">
        <f t="shared" si="100"/>
        <v>0</v>
      </c>
      <c r="BD105" s="141">
        <f t="shared" si="101"/>
        <v>0</v>
      </c>
      <c r="BE105" s="141">
        <f t="shared" si="102"/>
        <v>0</v>
      </c>
      <c r="BF105" s="141">
        <f t="shared" si="103"/>
        <v>0</v>
      </c>
      <c r="BG105" s="141">
        <f t="shared" si="80"/>
        <v>0</v>
      </c>
      <c r="BH105" s="141">
        <f t="shared" si="81"/>
        <v>0</v>
      </c>
      <c r="BI105" s="141">
        <f t="shared" si="104"/>
        <v>0</v>
      </c>
      <c r="BJ105" s="147">
        <f t="shared" si="82"/>
        <v>0</v>
      </c>
      <c r="BK105" s="141">
        <f t="shared" si="83"/>
        <v>0</v>
      </c>
      <c r="BL105" s="141">
        <f t="shared" si="84"/>
        <v>0</v>
      </c>
      <c r="BM105" s="141">
        <f t="shared" si="85"/>
        <v>0</v>
      </c>
      <c r="BN105" s="141">
        <f t="shared" si="86"/>
        <v>0</v>
      </c>
      <c r="BO105" s="141">
        <f t="shared" si="87"/>
        <v>0</v>
      </c>
      <c r="BP105" s="141">
        <f t="shared" si="88"/>
        <v>0</v>
      </c>
      <c r="BS105" s="153"/>
      <c r="BT105" s="177"/>
      <c r="BU105" s="173"/>
      <c r="BV105" s="174"/>
      <c r="BW105" s="171"/>
      <c r="BX105" s="174"/>
      <c r="BY105" s="171"/>
      <c r="BZ105" s="174"/>
      <c r="CA105" s="174"/>
      <c r="CB105" s="176"/>
      <c r="CC105" s="176"/>
      <c r="CF105" s="170"/>
      <c r="CG105" s="171"/>
      <c r="CH105" s="170"/>
      <c r="CI105" s="171"/>
    </row>
    <row r="106" spans="2:89" s="108" customFormat="1" hidden="1">
      <c r="B106" s="109"/>
      <c r="C106" s="141" t="e">
        <f t="shared" si="60"/>
        <v>#NUM!</v>
      </c>
      <c r="D106" s="141">
        <f t="shared" si="65"/>
        <v>0</v>
      </c>
      <c r="E106" s="141"/>
      <c r="F106" s="142">
        <f t="shared" si="89"/>
        <v>0</v>
      </c>
      <c r="G106" s="143" t="s">
        <v>146</v>
      </c>
      <c r="H106" s="80">
        <f t="shared" si="66"/>
        <v>0</v>
      </c>
      <c r="I106" s="80" t="str">
        <f t="shared" si="90"/>
        <v/>
      </c>
      <c r="J106" s="144"/>
      <c r="K106" s="144"/>
      <c r="L106" s="144"/>
      <c r="M106" s="76"/>
      <c r="N106" s="77"/>
      <c r="O106" s="145"/>
      <c r="P106" s="77">
        <f t="shared" si="107"/>
        <v>0</v>
      </c>
      <c r="Q106" s="78"/>
      <c r="R106" s="79"/>
      <c r="S106" s="146">
        <f t="shared" si="61"/>
        <v>0</v>
      </c>
      <c r="T106" s="141" t="b">
        <f t="shared" si="105"/>
        <v>0</v>
      </c>
      <c r="U106" s="649">
        <f t="shared" si="67"/>
        <v>0</v>
      </c>
      <c r="V106" s="650"/>
      <c r="W106" s="649">
        <f t="shared" si="68"/>
        <v>0</v>
      </c>
      <c r="X106" s="650"/>
      <c r="Y106" s="649">
        <f t="shared" si="69"/>
        <v>0</v>
      </c>
      <c r="Z106" s="650"/>
      <c r="AA106" s="649">
        <f t="shared" si="70"/>
        <v>0</v>
      </c>
      <c r="AB106" s="650"/>
      <c r="AC106" s="649">
        <f t="shared" si="71"/>
        <v>0</v>
      </c>
      <c r="AD106" s="650"/>
      <c r="AE106" s="649">
        <f t="shared" si="72"/>
        <v>0</v>
      </c>
      <c r="AF106" s="650"/>
      <c r="AG106" s="649">
        <f t="shared" si="73"/>
        <v>0</v>
      </c>
      <c r="AH106" s="650"/>
      <c r="AI106" s="649">
        <f t="shared" si="74"/>
        <v>0</v>
      </c>
      <c r="AJ106" s="650"/>
      <c r="AK106" s="649">
        <f t="shared" si="75"/>
        <v>0</v>
      </c>
      <c r="AL106" s="650"/>
      <c r="AM106" s="649">
        <f t="shared" si="76"/>
        <v>0</v>
      </c>
      <c r="AN106" s="650"/>
      <c r="AO106" s="649">
        <f t="shared" si="77"/>
        <v>0</v>
      </c>
      <c r="AP106" s="650"/>
      <c r="AQ106" s="649">
        <f t="shared" si="78"/>
        <v>0</v>
      </c>
      <c r="AR106" s="650"/>
      <c r="AS106" s="651">
        <f t="shared" si="79"/>
        <v>0</v>
      </c>
      <c r="AT106" s="652"/>
      <c r="AU106" s="141">
        <f t="shared" si="92"/>
        <v>0</v>
      </c>
      <c r="AV106" s="141">
        <f t="shared" si="93"/>
        <v>0</v>
      </c>
      <c r="AW106" s="141">
        <f t="shared" si="94"/>
        <v>0</v>
      </c>
      <c r="AX106" s="141">
        <f t="shared" si="95"/>
        <v>0</v>
      </c>
      <c r="AY106" s="141">
        <f t="shared" si="96"/>
        <v>0</v>
      </c>
      <c r="AZ106" s="141">
        <f t="shared" si="97"/>
        <v>0</v>
      </c>
      <c r="BA106" s="141">
        <f t="shared" si="98"/>
        <v>0</v>
      </c>
      <c r="BB106" s="141">
        <f t="shared" si="99"/>
        <v>0</v>
      </c>
      <c r="BC106" s="141">
        <f t="shared" si="100"/>
        <v>0</v>
      </c>
      <c r="BD106" s="141">
        <f t="shared" si="101"/>
        <v>0</v>
      </c>
      <c r="BE106" s="141">
        <f t="shared" si="102"/>
        <v>0</v>
      </c>
      <c r="BF106" s="141">
        <f t="shared" si="103"/>
        <v>0</v>
      </c>
      <c r="BG106" s="141">
        <f t="shared" si="80"/>
        <v>0</v>
      </c>
      <c r="BH106" s="141">
        <f t="shared" si="81"/>
        <v>0</v>
      </c>
      <c r="BI106" s="141">
        <f t="shared" si="104"/>
        <v>0</v>
      </c>
      <c r="BJ106" s="147">
        <f t="shared" si="82"/>
        <v>0</v>
      </c>
      <c r="BK106" s="141">
        <f t="shared" si="83"/>
        <v>0</v>
      </c>
      <c r="BL106" s="141">
        <f t="shared" si="84"/>
        <v>0</v>
      </c>
      <c r="BM106" s="141">
        <f t="shared" si="85"/>
        <v>0</v>
      </c>
      <c r="BN106" s="141">
        <f t="shared" si="86"/>
        <v>0</v>
      </c>
      <c r="BO106" s="141">
        <f t="shared" si="87"/>
        <v>0</v>
      </c>
      <c r="BP106" s="141">
        <f t="shared" si="88"/>
        <v>0</v>
      </c>
      <c r="BS106" s="153"/>
      <c r="BT106" s="177"/>
      <c r="BU106" s="173"/>
      <c r="BV106" s="174"/>
      <c r="BW106" s="171"/>
      <c r="BX106" s="174"/>
      <c r="BY106" s="171"/>
      <c r="BZ106" s="174"/>
      <c r="CA106" s="174"/>
      <c r="CB106" s="176"/>
      <c r="CC106" s="176"/>
      <c r="CF106" s="170"/>
      <c r="CG106" s="171"/>
      <c r="CH106" s="170"/>
      <c r="CI106" s="171"/>
    </row>
    <row r="107" spans="2:89" s="108" customFormat="1" hidden="1">
      <c r="B107" s="109"/>
      <c r="C107" s="141" t="e">
        <f t="shared" si="60"/>
        <v>#NUM!</v>
      </c>
      <c r="D107" s="141">
        <f t="shared" si="65"/>
        <v>0</v>
      </c>
      <c r="E107" s="141" t="str">
        <f>IFERROR(DGET($BV$30:$CC$82,F107,G106:G107),"")</f>
        <v/>
      </c>
      <c r="F107" s="142">
        <f t="shared" si="89"/>
        <v>0</v>
      </c>
      <c r="G107" s="142" t="b">
        <f>IF(Q107&gt;0,IF(AND(S107&gt;0,S107&lt;2),CONCATENATE(Q107," ","0-2"),IF(AND(S107&gt;=2,S107&lt;8),CONCATENATE(Q107," ","2-8"),)))</f>
        <v>0</v>
      </c>
      <c r="H107" s="80">
        <f t="shared" si="66"/>
        <v>0</v>
      </c>
      <c r="I107" s="80" t="str">
        <f t="shared" si="90"/>
        <v/>
      </c>
      <c r="J107" s="76"/>
      <c r="K107" s="76"/>
      <c r="L107" s="76"/>
      <c r="M107" s="80"/>
      <c r="N107" s="79"/>
      <c r="O107" s="148"/>
      <c r="P107" s="77">
        <f t="shared" si="107"/>
        <v>0</v>
      </c>
      <c r="Q107" s="81"/>
      <c r="R107" s="77"/>
      <c r="S107" s="146">
        <f t="shared" si="61"/>
        <v>0</v>
      </c>
      <c r="T107" s="141" t="b">
        <f t="shared" si="105"/>
        <v>0</v>
      </c>
      <c r="U107" s="649">
        <f t="shared" si="67"/>
        <v>0</v>
      </c>
      <c r="V107" s="650"/>
      <c r="W107" s="649">
        <f t="shared" si="68"/>
        <v>0</v>
      </c>
      <c r="X107" s="650"/>
      <c r="Y107" s="649">
        <f t="shared" si="69"/>
        <v>0</v>
      </c>
      <c r="Z107" s="650"/>
      <c r="AA107" s="649">
        <f t="shared" si="70"/>
        <v>0</v>
      </c>
      <c r="AB107" s="650"/>
      <c r="AC107" s="649">
        <f t="shared" si="71"/>
        <v>0</v>
      </c>
      <c r="AD107" s="650"/>
      <c r="AE107" s="649">
        <f t="shared" si="72"/>
        <v>0</v>
      </c>
      <c r="AF107" s="650"/>
      <c r="AG107" s="649">
        <f t="shared" si="73"/>
        <v>0</v>
      </c>
      <c r="AH107" s="650"/>
      <c r="AI107" s="649">
        <f t="shared" si="74"/>
        <v>0</v>
      </c>
      <c r="AJ107" s="650"/>
      <c r="AK107" s="649">
        <f t="shared" si="75"/>
        <v>0</v>
      </c>
      <c r="AL107" s="650"/>
      <c r="AM107" s="649">
        <f t="shared" si="76"/>
        <v>0</v>
      </c>
      <c r="AN107" s="650"/>
      <c r="AO107" s="649">
        <f t="shared" si="77"/>
        <v>0</v>
      </c>
      <c r="AP107" s="650"/>
      <c r="AQ107" s="649">
        <f t="shared" si="78"/>
        <v>0</v>
      </c>
      <c r="AR107" s="650"/>
      <c r="AS107" s="651">
        <f t="shared" si="79"/>
        <v>0</v>
      </c>
      <c r="AT107" s="652"/>
      <c r="AU107" s="141">
        <f t="shared" si="92"/>
        <v>0</v>
      </c>
      <c r="AV107" s="141">
        <f t="shared" si="93"/>
        <v>0</v>
      </c>
      <c r="AW107" s="141">
        <f t="shared" si="94"/>
        <v>0</v>
      </c>
      <c r="AX107" s="141">
        <f t="shared" si="95"/>
        <v>0</v>
      </c>
      <c r="AY107" s="141">
        <f t="shared" si="96"/>
        <v>0</v>
      </c>
      <c r="AZ107" s="141">
        <f t="shared" si="97"/>
        <v>0</v>
      </c>
      <c r="BA107" s="141">
        <f t="shared" si="98"/>
        <v>0</v>
      </c>
      <c r="BB107" s="141">
        <f t="shared" si="99"/>
        <v>0</v>
      </c>
      <c r="BC107" s="141">
        <f t="shared" si="100"/>
        <v>0</v>
      </c>
      <c r="BD107" s="141">
        <f t="shared" si="101"/>
        <v>0</v>
      </c>
      <c r="BE107" s="141">
        <f t="shared" si="102"/>
        <v>0</v>
      </c>
      <c r="BF107" s="141">
        <f t="shared" si="103"/>
        <v>0</v>
      </c>
      <c r="BG107" s="141">
        <f t="shared" si="80"/>
        <v>0</v>
      </c>
      <c r="BH107" s="141">
        <f t="shared" si="81"/>
        <v>0</v>
      </c>
      <c r="BI107" s="141">
        <f t="shared" si="104"/>
        <v>0</v>
      </c>
      <c r="BJ107" s="147">
        <f t="shared" si="82"/>
        <v>0</v>
      </c>
      <c r="BK107" s="141">
        <f t="shared" si="83"/>
        <v>0</v>
      </c>
      <c r="BL107" s="141">
        <f t="shared" si="84"/>
        <v>0</v>
      </c>
      <c r="BM107" s="141">
        <f t="shared" si="85"/>
        <v>0</v>
      </c>
      <c r="BN107" s="141">
        <f t="shared" si="86"/>
        <v>0</v>
      </c>
      <c r="BO107" s="141">
        <f t="shared" si="87"/>
        <v>0</v>
      </c>
      <c r="BP107" s="141">
        <f t="shared" si="88"/>
        <v>0</v>
      </c>
      <c r="BS107" s="153"/>
      <c r="BT107" s="177"/>
      <c r="BU107" s="173"/>
      <c r="BV107" s="174"/>
      <c r="BW107" s="171"/>
      <c r="BX107" s="174"/>
      <c r="BY107" s="171"/>
      <c r="BZ107" s="174"/>
      <c r="CA107" s="174"/>
      <c r="CB107" s="176"/>
      <c r="CC107" s="176"/>
      <c r="CF107" s="170"/>
      <c r="CG107" s="171"/>
      <c r="CH107" s="170"/>
      <c r="CI107" s="171"/>
    </row>
    <row r="108" spans="2:89" s="108" customFormat="1" hidden="1">
      <c r="B108" s="109"/>
      <c r="C108" s="141" t="e">
        <f t="shared" si="60"/>
        <v>#NUM!</v>
      </c>
      <c r="D108" s="141">
        <f t="shared" si="65"/>
        <v>0</v>
      </c>
      <c r="E108" s="141"/>
      <c r="F108" s="142">
        <f t="shared" si="89"/>
        <v>0</v>
      </c>
      <c r="G108" s="143" t="s">
        <v>146</v>
      </c>
      <c r="H108" s="80">
        <f t="shared" si="66"/>
        <v>0</v>
      </c>
      <c r="I108" s="80" t="str">
        <f t="shared" si="90"/>
        <v/>
      </c>
      <c r="J108" s="144"/>
      <c r="K108" s="144"/>
      <c r="L108" s="144"/>
      <c r="M108" s="76"/>
      <c r="N108" s="77"/>
      <c r="O108" s="145"/>
      <c r="P108" s="77">
        <f t="shared" si="107"/>
        <v>0</v>
      </c>
      <c r="Q108" s="78"/>
      <c r="R108" s="79"/>
      <c r="S108" s="146">
        <f t="shared" si="61"/>
        <v>0</v>
      </c>
      <c r="T108" s="141" t="b">
        <f t="shared" si="105"/>
        <v>0</v>
      </c>
      <c r="U108" s="649">
        <f t="shared" si="67"/>
        <v>0</v>
      </c>
      <c r="V108" s="650"/>
      <c r="W108" s="649">
        <f t="shared" si="68"/>
        <v>0</v>
      </c>
      <c r="X108" s="650"/>
      <c r="Y108" s="649">
        <f t="shared" si="69"/>
        <v>0</v>
      </c>
      <c r="Z108" s="650"/>
      <c r="AA108" s="649">
        <f t="shared" si="70"/>
        <v>0</v>
      </c>
      <c r="AB108" s="650"/>
      <c r="AC108" s="649">
        <f t="shared" si="71"/>
        <v>0</v>
      </c>
      <c r="AD108" s="650"/>
      <c r="AE108" s="649">
        <f t="shared" si="72"/>
        <v>0</v>
      </c>
      <c r="AF108" s="650"/>
      <c r="AG108" s="649">
        <f t="shared" si="73"/>
        <v>0</v>
      </c>
      <c r="AH108" s="650"/>
      <c r="AI108" s="649">
        <f t="shared" si="74"/>
        <v>0</v>
      </c>
      <c r="AJ108" s="650"/>
      <c r="AK108" s="649">
        <f t="shared" si="75"/>
        <v>0</v>
      </c>
      <c r="AL108" s="650"/>
      <c r="AM108" s="649">
        <f t="shared" si="76"/>
        <v>0</v>
      </c>
      <c r="AN108" s="650"/>
      <c r="AO108" s="649">
        <f t="shared" si="77"/>
        <v>0</v>
      </c>
      <c r="AP108" s="650"/>
      <c r="AQ108" s="649">
        <f t="shared" si="78"/>
        <v>0</v>
      </c>
      <c r="AR108" s="650"/>
      <c r="AS108" s="651">
        <f t="shared" si="79"/>
        <v>0</v>
      </c>
      <c r="AT108" s="652"/>
      <c r="AU108" s="141">
        <f t="shared" si="92"/>
        <v>0</v>
      </c>
      <c r="AV108" s="141">
        <f t="shared" si="93"/>
        <v>0</v>
      </c>
      <c r="AW108" s="141">
        <f t="shared" si="94"/>
        <v>0</v>
      </c>
      <c r="AX108" s="141">
        <f t="shared" si="95"/>
        <v>0</v>
      </c>
      <c r="AY108" s="141">
        <f t="shared" si="96"/>
        <v>0</v>
      </c>
      <c r="AZ108" s="141">
        <f t="shared" si="97"/>
        <v>0</v>
      </c>
      <c r="BA108" s="141">
        <f t="shared" si="98"/>
        <v>0</v>
      </c>
      <c r="BB108" s="141">
        <f t="shared" si="99"/>
        <v>0</v>
      </c>
      <c r="BC108" s="141">
        <f t="shared" si="100"/>
        <v>0</v>
      </c>
      <c r="BD108" s="141">
        <f t="shared" si="101"/>
        <v>0</v>
      </c>
      <c r="BE108" s="141">
        <f t="shared" si="102"/>
        <v>0</v>
      </c>
      <c r="BF108" s="141">
        <f t="shared" si="103"/>
        <v>0</v>
      </c>
      <c r="BG108" s="141">
        <f t="shared" si="80"/>
        <v>0</v>
      </c>
      <c r="BH108" s="141">
        <f t="shared" si="81"/>
        <v>0</v>
      </c>
      <c r="BI108" s="141">
        <f t="shared" si="104"/>
        <v>0</v>
      </c>
      <c r="BJ108" s="147">
        <f t="shared" si="82"/>
        <v>0</v>
      </c>
      <c r="BK108" s="141">
        <f t="shared" si="83"/>
        <v>0</v>
      </c>
      <c r="BL108" s="141">
        <f t="shared" si="84"/>
        <v>0</v>
      </c>
      <c r="BM108" s="141">
        <f t="shared" si="85"/>
        <v>0</v>
      </c>
      <c r="BN108" s="141">
        <f t="shared" si="86"/>
        <v>0</v>
      </c>
      <c r="BO108" s="141">
        <f t="shared" si="87"/>
        <v>0</v>
      </c>
      <c r="BP108" s="141">
        <f t="shared" si="88"/>
        <v>0</v>
      </c>
      <c r="BS108" s="153"/>
      <c r="BT108" s="177"/>
      <c r="BU108" s="173"/>
      <c r="BV108" s="174"/>
      <c r="BW108" s="171"/>
      <c r="BX108" s="174"/>
      <c r="BY108" s="171"/>
      <c r="BZ108" s="174"/>
      <c r="CA108" s="174"/>
      <c r="CB108" s="176"/>
      <c r="CC108" s="176"/>
      <c r="CF108" s="170"/>
      <c r="CG108" s="171"/>
      <c r="CH108" s="170"/>
      <c r="CI108" s="171"/>
    </row>
    <row r="109" spans="2:89" s="108" customFormat="1" hidden="1">
      <c r="B109" s="109"/>
      <c r="C109" s="141" t="e">
        <f t="shared" si="60"/>
        <v>#NUM!</v>
      </c>
      <c r="D109" s="141">
        <f t="shared" si="65"/>
        <v>0</v>
      </c>
      <c r="E109" s="141" t="str">
        <f>IFERROR(DGET($BV$30:$CC$82,F109,G108:G109),"")</f>
        <v/>
      </c>
      <c r="F109" s="142">
        <f t="shared" si="89"/>
        <v>0</v>
      </c>
      <c r="G109" s="142" t="b">
        <f>IF(Q109&gt;0,IF(AND(S109&gt;0,S109&lt;2),CONCATENATE(Q109," ","0-2"),IF(AND(S109&gt;=2,S109&lt;8),CONCATENATE(Q109," ","2-8"),)))</f>
        <v>0</v>
      </c>
      <c r="H109" s="80">
        <f t="shared" si="66"/>
        <v>0</v>
      </c>
      <c r="I109" s="80" t="str">
        <f t="shared" si="90"/>
        <v/>
      </c>
      <c r="J109" s="76"/>
      <c r="K109" s="76"/>
      <c r="L109" s="76"/>
      <c r="M109" s="80"/>
      <c r="N109" s="79"/>
      <c r="O109" s="148"/>
      <c r="P109" s="77">
        <f t="shared" si="91"/>
        <v>0</v>
      </c>
      <c r="Q109" s="81"/>
      <c r="R109" s="77"/>
      <c r="S109" s="146">
        <f t="shared" si="61"/>
        <v>0</v>
      </c>
      <c r="T109" s="141" t="b">
        <f t="shared" si="105"/>
        <v>0</v>
      </c>
      <c r="U109" s="649">
        <f t="shared" si="67"/>
        <v>0</v>
      </c>
      <c r="V109" s="650"/>
      <c r="W109" s="649">
        <f t="shared" si="68"/>
        <v>0</v>
      </c>
      <c r="X109" s="650"/>
      <c r="Y109" s="649">
        <f t="shared" si="69"/>
        <v>0</v>
      </c>
      <c r="Z109" s="650"/>
      <c r="AA109" s="649">
        <f t="shared" si="70"/>
        <v>0</v>
      </c>
      <c r="AB109" s="650"/>
      <c r="AC109" s="649">
        <f t="shared" si="71"/>
        <v>0</v>
      </c>
      <c r="AD109" s="650"/>
      <c r="AE109" s="649">
        <f t="shared" si="72"/>
        <v>0</v>
      </c>
      <c r="AF109" s="650"/>
      <c r="AG109" s="649">
        <f t="shared" si="73"/>
        <v>0</v>
      </c>
      <c r="AH109" s="650"/>
      <c r="AI109" s="649">
        <f t="shared" si="74"/>
        <v>0</v>
      </c>
      <c r="AJ109" s="650"/>
      <c r="AK109" s="649">
        <f t="shared" si="75"/>
        <v>0</v>
      </c>
      <c r="AL109" s="650"/>
      <c r="AM109" s="649">
        <f t="shared" si="76"/>
        <v>0</v>
      </c>
      <c r="AN109" s="650"/>
      <c r="AO109" s="649">
        <f t="shared" si="77"/>
        <v>0</v>
      </c>
      <c r="AP109" s="650"/>
      <c r="AQ109" s="649">
        <f t="shared" si="78"/>
        <v>0</v>
      </c>
      <c r="AR109" s="650"/>
      <c r="AS109" s="651">
        <f t="shared" si="79"/>
        <v>0</v>
      </c>
      <c r="AT109" s="652"/>
      <c r="AU109" s="141">
        <f t="shared" si="92"/>
        <v>0</v>
      </c>
      <c r="AV109" s="141">
        <f t="shared" si="93"/>
        <v>0</v>
      </c>
      <c r="AW109" s="141">
        <f t="shared" si="94"/>
        <v>0</v>
      </c>
      <c r="AX109" s="141">
        <f t="shared" si="95"/>
        <v>0</v>
      </c>
      <c r="AY109" s="141">
        <f t="shared" si="96"/>
        <v>0</v>
      </c>
      <c r="AZ109" s="141">
        <f t="shared" si="97"/>
        <v>0</v>
      </c>
      <c r="BA109" s="141">
        <f t="shared" si="98"/>
        <v>0</v>
      </c>
      <c r="BB109" s="141">
        <f t="shared" si="99"/>
        <v>0</v>
      </c>
      <c r="BC109" s="141">
        <f t="shared" si="100"/>
        <v>0</v>
      </c>
      <c r="BD109" s="141">
        <f t="shared" si="101"/>
        <v>0</v>
      </c>
      <c r="BE109" s="141">
        <f t="shared" si="102"/>
        <v>0</v>
      </c>
      <c r="BF109" s="141">
        <f t="shared" si="103"/>
        <v>0</v>
      </c>
      <c r="BG109" s="141">
        <f t="shared" si="80"/>
        <v>0</v>
      </c>
      <c r="BH109" s="141">
        <f t="shared" si="81"/>
        <v>0</v>
      </c>
      <c r="BI109" s="141">
        <f t="shared" si="104"/>
        <v>0</v>
      </c>
      <c r="BJ109" s="147">
        <f t="shared" si="82"/>
        <v>0</v>
      </c>
      <c r="BK109" s="141">
        <f t="shared" si="83"/>
        <v>0</v>
      </c>
      <c r="BL109" s="141">
        <f t="shared" si="84"/>
        <v>0</v>
      </c>
      <c r="BM109" s="141">
        <f t="shared" si="85"/>
        <v>0</v>
      </c>
      <c r="BN109" s="141">
        <f t="shared" si="86"/>
        <v>0</v>
      </c>
      <c r="BO109" s="141">
        <f t="shared" si="87"/>
        <v>0</v>
      </c>
      <c r="BP109" s="141">
        <f t="shared" si="88"/>
        <v>0</v>
      </c>
      <c r="BT109" s="177"/>
      <c r="BU109" s="173"/>
      <c r="BV109" s="174"/>
      <c r="BW109" s="180"/>
      <c r="BX109" s="180"/>
      <c r="BY109" s="117"/>
      <c r="BZ109" s="181"/>
      <c r="CA109" s="182"/>
      <c r="CB109" s="176"/>
      <c r="CC109" s="176"/>
      <c r="CF109" s="170"/>
      <c r="CG109" s="171"/>
      <c r="CH109" s="170"/>
      <c r="CI109" s="171"/>
    </row>
    <row r="110" spans="2:89" s="108" customFormat="1" hidden="1">
      <c r="B110" s="109"/>
      <c r="C110" s="141" t="e">
        <f t="shared" si="60"/>
        <v>#NUM!</v>
      </c>
      <c r="D110" s="141">
        <f t="shared" si="65"/>
        <v>0</v>
      </c>
      <c r="E110" s="141"/>
      <c r="F110" s="142">
        <f t="shared" si="89"/>
        <v>0</v>
      </c>
      <c r="G110" s="143" t="s">
        <v>146</v>
      </c>
      <c r="H110" s="80">
        <f t="shared" si="66"/>
        <v>0</v>
      </c>
      <c r="I110" s="80" t="str">
        <f t="shared" si="90"/>
        <v/>
      </c>
      <c r="J110" s="144"/>
      <c r="K110" s="201"/>
      <c r="L110" s="144"/>
      <c r="M110" s="76"/>
      <c r="N110" s="77"/>
      <c r="O110" s="145"/>
      <c r="P110" s="77">
        <f t="shared" ref="P110" si="108">SQRT(((N110*O110)^2)+(N110^2))</f>
        <v>0</v>
      </c>
      <c r="Q110" s="78"/>
      <c r="R110" s="79"/>
      <c r="S110" s="146">
        <f t="shared" si="61"/>
        <v>0</v>
      </c>
      <c r="T110" s="141" t="b">
        <f t="shared" si="105"/>
        <v>0</v>
      </c>
      <c r="U110" s="649">
        <f t="shared" si="67"/>
        <v>0</v>
      </c>
      <c r="V110" s="650"/>
      <c r="W110" s="649">
        <f t="shared" si="68"/>
        <v>0</v>
      </c>
      <c r="X110" s="650"/>
      <c r="Y110" s="649">
        <f t="shared" si="69"/>
        <v>0</v>
      </c>
      <c r="Z110" s="650"/>
      <c r="AA110" s="649">
        <f t="shared" si="70"/>
        <v>0</v>
      </c>
      <c r="AB110" s="650"/>
      <c r="AC110" s="649">
        <f t="shared" si="71"/>
        <v>0</v>
      </c>
      <c r="AD110" s="650"/>
      <c r="AE110" s="649">
        <f t="shared" si="72"/>
        <v>0</v>
      </c>
      <c r="AF110" s="650"/>
      <c r="AG110" s="649">
        <f t="shared" si="73"/>
        <v>0</v>
      </c>
      <c r="AH110" s="650"/>
      <c r="AI110" s="649">
        <f t="shared" si="74"/>
        <v>0</v>
      </c>
      <c r="AJ110" s="650"/>
      <c r="AK110" s="649">
        <f t="shared" si="75"/>
        <v>0</v>
      </c>
      <c r="AL110" s="650"/>
      <c r="AM110" s="649">
        <f t="shared" si="76"/>
        <v>0</v>
      </c>
      <c r="AN110" s="650"/>
      <c r="AO110" s="649">
        <f t="shared" si="77"/>
        <v>0</v>
      </c>
      <c r="AP110" s="650"/>
      <c r="AQ110" s="649">
        <f t="shared" si="78"/>
        <v>0</v>
      </c>
      <c r="AR110" s="650"/>
      <c r="AS110" s="651">
        <f t="shared" si="79"/>
        <v>0</v>
      </c>
      <c r="AT110" s="652"/>
      <c r="AU110" s="141">
        <f t="shared" si="92"/>
        <v>0</v>
      </c>
      <c r="AV110" s="141">
        <f t="shared" si="93"/>
        <v>0</v>
      </c>
      <c r="AW110" s="141">
        <f t="shared" si="94"/>
        <v>0</v>
      </c>
      <c r="AX110" s="141">
        <f t="shared" si="95"/>
        <v>0</v>
      </c>
      <c r="AY110" s="141">
        <f t="shared" si="96"/>
        <v>0</v>
      </c>
      <c r="AZ110" s="141">
        <f t="shared" si="97"/>
        <v>0</v>
      </c>
      <c r="BA110" s="141">
        <f t="shared" si="98"/>
        <v>0</v>
      </c>
      <c r="BB110" s="141">
        <f t="shared" si="99"/>
        <v>0</v>
      </c>
      <c r="BC110" s="141">
        <f t="shared" si="100"/>
        <v>0</v>
      </c>
      <c r="BD110" s="141">
        <f t="shared" si="101"/>
        <v>0</v>
      </c>
      <c r="BE110" s="141">
        <f t="shared" si="102"/>
        <v>0</v>
      </c>
      <c r="BF110" s="141">
        <f t="shared" si="103"/>
        <v>0</v>
      </c>
      <c r="BG110" s="141">
        <f t="shared" si="80"/>
        <v>0</v>
      </c>
      <c r="BH110" s="141">
        <f t="shared" si="81"/>
        <v>0</v>
      </c>
      <c r="BI110" s="141">
        <f t="shared" si="104"/>
        <v>0</v>
      </c>
      <c r="BJ110" s="147">
        <f t="shared" si="82"/>
        <v>0</v>
      </c>
      <c r="BK110" s="141">
        <f t="shared" si="83"/>
        <v>0</v>
      </c>
      <c r="BL110" s="141">
        <f t="shared" si="84"/>
        <v>0</v>
      </c>
      <c r="BM110" s="141">
        <f t="shared" si="85"/>
        <v>0</v>
      </c>
      <c r="BN110" s="141">
        <f t="shared" si="86"/>
        <v>0</v>
      </c>
      <c r="BO110" s="141">
        <f t="shared" si="87"/>
        <v>0</v>
      </c>
      <c r="BP110" s="141">
        <f t="shared" si="88"/>
        <v>0</v>
      </c>
      <c r="BT110" s="177"/>
      <c r="BU110" s="173"/>
      <c r="BV110" s="174"/>
      <c r="BW110" s="117"/>
      <c r="BX110" s="180"/>
      <c r="BY110" s="117"/>
      <c r="BZ110" s="181"/>
      <c r="CA110" s="182"/>
      <c r="CB110" s="176"/>
      <c r="CC110" s="176"/>
      <c r="CF110" s="170"/>
      <c r="CG110" s="171"/>
      <c r="CH110" s="170"/>
      <c r="CI110" s="171"/>
    </row>
    <row r="111" spans="2:89" s="108" customFormat="1" hidden="1">
      <c r="B111" s="109"/>
      <c r="C111" s="141" t="e">
        <f t="shared" si="60"/>
        <v>#NUM!</v>
      </c>
      <c r="D111" s="141">
        <f t="shared" si="65"/>
        <v>0</v>
      </c>
      <c r="E111" s="141" t="str">
        <f>IFERROR(DGET($BV$30:$CC$82,F111,G110:G111),"")</f>
        <v/>
      </c>
      <c r="F111" s="142">
        <f t="shared" si="89"/>
        <v>0</v>
      </c>
      <c r="G111" s="142" t="b">
        <f>IF(Q111&gt;0,IF(AND(S111&gt;0,S111&lt;2),CONCATENATE(Q111," ","0-2"),IF(AND(S111&gt;=2,S111&lt;8),CONCATENATE(Q111," ","2-8"),)))</f>
        <v>0</v>
      </c>
      <c r="H111" s="80">
        <f t="shared" si="66"/>
        <v>0</v>
      </c>
      <c r="I111" s="80" t="str">
        <f t="shared" si="90"/>
        <v/>
      </c>
      <c r="J111" s="76"/>
      <c r="K111" s="76"/>
      <c r="L111" s="76"/>
      <c r="M111" s="80"/>
      <c r="N111" s="79"/>
      <c r="O111" s="148"/>
      <c r="P111" s="77"/>
      <c r="Q111" s="81"/>
      <c r="R111" s="77"/>
      <c r="S111" s="146">
        <f t="shared" si="61"/>
        <v>0</v>
      </c>
      <c r="T111" s="141" t="b">
        <f t="shared" si="105"/>
        <v>0</v>
      </c>
      <c r="U111" s="649">
        <f t="shared" si="67"/>
        <v>0</v>
      </c>
      <c r="V111" s="650"/>
      <c r="W111" s="649">
        <f t="shared" si="68"/>
        <v>0</v>
      </c>
      <c r="X111" s="650"/>
      <c r="Y111" s="649">
        <f t="shared" si="69"/>
        <v>0</v>
      </c>
      <c r="Z111" s="650"/>
      <c r="AA111" s="649">
        <f t="shared" si="70"/>
        <v>0</v>
      </c>
      <c r="AB111" s="650"/>
      <c r="AC111" s="649">
        <f t="shared" si="71"/>
        <v>0</v>
      </c>
      <c r="AD111" s="650"/>
      <c r="AE111" s="649">
        <f t="shared" si="72"/>
        <v>0</v>
      </c>
      <c r="AF111" s="650"/>
      <c r="AG111" s="649">
        <f t="shared" si="73"/>
        <v>0</v>
      </c>
      <c r="AH111" s="650"/>
      <c r="AI111" s="649">
        <f t="shared" si="74"/>
        <v>0</v>
      </c>
      <c r="AJ111" s="650"/>
      <c r="AK111" s="649">
        <f t="shared" si="75"/>
        <v>0</v>
      </c>
      <c r="AL111" s="650"/>
      <c r="AM111" s="649">
        <f t="shared" si="76"/>
        <v>0</v>
      </c>
      <c r="AN111" s="650"/>
      <c r="AO111" s="649">
        <f t="shared" si="77"/>
        <v>0</v>
      </c>
      <c r="AP111" s="650"/>
      <c r="AQ111" s="649">
        <f t="shared" si="78"/>
        <v>0</v>
      </c>
      <c r="AR111" s="650"/>
      <c r="AS111" s="651">
        <f t="shared" si="79"/>
        <v>0</v>
      </c>
      <c r="AT111" s="652"/>
      <c r="AU111" s="141">
        <f t="shared" si="92"/>
        <v>0</v>
      </c>
      <c r="AV111" s="141">
        <f t="shared" si="93"/>
        <v>0</v>
      </c>
      <c r="AW111" s="141">
        <f t="shared" si="94"/>
        <v>0</v>
      </c>
      <c r="AX111" s="141">
        <f t="shared" si="95"/>
        <v>0</v>
      </c>
      <c r="AY111" s="141">
        <f t="shared" si="96"/>
        <v>0</v>
      </c>
      <c r="AZ111" s="141">
        <f t="shared" si="97"/>
        <v>0</v>
      </c>
      <c r="BA111" s="141">
        <f t="shared" si="98"/>
        <v>0</v>
      </c>
      <c r="BB111" s="141">
        <f t="shared" si="99"/>
        <v>0</v>
      </c>
      <c r="BC111" s="141">
        <f t="shared" si="100"/>
        <v>0</v>
      </c>
      <c r="BD111" s="141">
        <f t="shared" si="101"/>
        <v>0</v>
      </c>
      <c r="BE111" s="141">
        <f t="shared" si="102"/>
        <v>0</v>
      </c>
      <c r="BF111" s="141">
        <f t="shared" si="103"/>
        <v>0</v>
      </c>
      <c r="BG111" s="141">
        <f t="shared" si="80"/>
        <v>0</v>
      </c>
      <c r="BH111" s="141">
        <f t="shared" si="81"/>
        <v>0</v>
      </c>
      <c r="BI111" s="141">
        <f t="shared" si="104"/>
        <v>0</v>
      </c>
      <c r="BJ111" s="147">
        <f t="shared" si="82"/>
        <v>0</v>
      </c>
      <c r="BK111" s="141">
        <f t="shared" si="83"/>
        <v>0</v>
      </c>
      <c r="BL111" s="141">
        <f t="shared" si="84"/>
        <v>0</v>
      </c>
      <c r="BM111" s="141">
        <f t="shared" si="85"/>
        <v>0</v>
      </c>
      <c r="BN111" s="141">
        <f t="shared" si="86"/>
        <v>0</v>
      </c>
      <c r="BO111" s="141">
        <f t="shared" si="87"/>
        <v>0</v>
      </c>
      <c r="BP111" s="141">
        <f t="shared" si="88"/>
        <v>0</v>
      </c>
      <c r="BT111" s="177"/>
      <c r="BU111" s="173"/>
      <c r="BV111" s="174"/>
      <c r="BW111" s="117"/>
      <c r="BX111" s="180"/>
      <c r="BY111" s="117"/>
      <c r="BZ111" s="181"/>
      <c r="CA111" s="182"/>
      <c r="CB111" s="176"/>
      <c r="CC111" s="176"/>
      <c r="CF111" s="170"/>
      <c r="CG111" s="171"/>
      <c r="CH111" s="170"/>
      <c r="CI111" s="171"/>
    </row>
    <row r="112" spans="2:89" s="108" customFormat="1" hidden="1">
      <c r="B112" s="109"/>
      <c r="C112" s="141" t="e">
        <f t="shared" si="60"/>
        <v>#NUM!</v>
      </c>
      <c r="D112" s="141">
        <f t="shared" si="65"/>
        <v>0</v>
      </c>
      <c r="E112" s="141"/>
      <c r="F112" s="142">
        <f t="shared" si="89"/>
        <v>0</v>
      </c>
      <c r="G112" s="143" t="s">
        <v>146</v>
      </c>
      <c r="H112" s="80">
        <f t="shared" si="66"/>
        <v>0</v>
      </c>
      <c r="I112" s="80" t="str">
        <f t="shared" si="90"/>
        <v/>
      </c>
      <c r="J112" s="144"/>
      <c r="K112" s="144"/>
      <c r="L112" s="144"/>
      <c r="M112" s="76"/>
      <c r="N112" s="77"/>
      <c r="O112" s="145"/>
      <c r="P112" s="77"/>
      <c r="Q112" s="78"/>
      <c r="R112" s="79"/>
      <c r="S112" s="146">
        <f t="shared" si="61"/>
        <v>0</v>
      </c>
      <c r="T112" s="141" t="b">
        <f t="shared" si="105"/>
        <v>0</v>
      </c>
      <c r="U112" s="649">
        <f t="shared" si="67"/>
        <v>0</v>
      </c>
      <c r="V112" s="650"/>
      <c r="W112" s="649">
        <f t="shared" si="68"/>
        <v>0</v>
      </c>
      <c r="X112" s="650"/>
      <c r="Y112" s="649">
        <f t="shared" si="69"/>
        <v>0</v>
      </c>
      <c r="Z112" s="650"/>
      <c r="AA112" s="649">
        <f t="shared" si="70"/>
        <v>0</v>
      </c>
      <c r="AB112" s="650"/>
      <c r="AC112" s="649">
        <f t="shared" si="71"/>
        <v>0</v>
      </c>
      <c r="AD112" s="650"/>
      <c r="AE112" s="649">
        <f t="shared" si="72"/>
        <v>0</v>
      </c>
      <c r="AF112" s="650"/>
      <c r="AG112" s="649">
        <f t="shared" si="73"/>
        <v>0</v>
      </c>
      <c r="AH112" s="650"/>
      <c r="AI112" s="649">
        <f t="shared" si="74"/>
        <v>0</v>
      </c>
      <c r="AJ112" s="650"/>
      <c r="AK112" s="649">
        <f t="shared" si="75"/>
        <v>0</v>
      </c>
      <c r="AL112" s="650"/>
      <c r="AM112" s="649">
        <f t="shared" si="76"/>
        <v>0</v>
      </c>
      <c r="AN112" s="650"/>
      <c r="AO112" s="649">
        <f t="shared" si="77"/>
        <v>0</v>
      </c>
      <c r="AP112" s="650"/>
      <c r="AQ112" s="649">
        <f t="shared" si="78"/>
        <v>0</v>
      </c>
      <c r="AR112" s="650"/>
      <c r="AS112" s="651">
        <f t="shared" si="79"/>
        <v>0</v>
      </c>
      <c r="AT112" s="652"/>
      <c r="AU112" s="141">
        <f t="shared" si="92"/>
        <v>0</v>
      </c>
      <c r="AV112" s="141">
        <f t="shared" si="93"/>
        <v>0</v>
      </c>
      <c r="AW112" s="141">
        <f t="shared" si="94"/>
        <v>0</v>
      </c>
      <c r="AX112" s="141">
        <f t="shared" si="95"/>
        <v>0</v>
      </c>
      <c r="AY112" s="141">
        <f t="shared" si="96"/>
        <v>0</v>
      </c>
      <c r="AZ112" s="141">
        <f t="shared" si="97"/>
        <v>0</v>
      </c>
      <c r="BA112" s="141">
        <f t="shared" si="98"/>
        <v>0</v>
      </c>
      <c r="BB112" s="141">
        <f t="shared" si="99"/>
        <v>0</v>
      </c>
      <c r="BC112" s="141">
        <f t="shared" si="100"/>
        <v>0</v>
      </c>
      <c r="BD112" s="141">
        <f t="shared" si="101"/>
        <v>0</v>
      </c>
      <c r="BE112" s="141">
        <f t="shared" si="102"/>
        <v>0</v>
      </c>
      <c r="BF112" s="141">
        <f t="shared" si="103"/>
        <v>0</v>
      </c>
      <c r="BG112" s="141">
        <f t="shared" si="80"/>
        <v>0</v>
      </c>
      <c r="BH112" s="141">
        <f t="shared" si="81"/>
        <v>0</v>
      </c>
      <c r="BI112" s="141">
        <f t="shared" si="104"/>
        <v>0</v>
      </c>
      <c r="BJ112" s="147">
        <f t="shared" si="82"/>
        <v>0</v>
      </c>
      <c r="BK112" s="141">
        <f t="shared" si="83"/>
        <v>0</v>
      </c>
      <c r="BL112" s="141">
        <f t="shared" si="84"/>
        <v>0</v>
      </c>
      <c r="BM112" s="141">
        <f t="shared" si="85"/>
        <v>0</v>
      </c>
      <c r="BN112" s="141">
        <f t="shared" si="86"/>
        <v>0</v>
      </c>
      <c r="BO112" s="141">
        <f t="shared" si="87"/>
        <v>0</v>
      </c>
      <c r="BP112" s="141">
        <f t="shared" si="88"/>
        <v>0</v>
      </c>
      <c r="BT112" s="177"/>
      <c r="BU112" s="173"/>
      <c r="BV112" s="174"/>
      <c r="BW112" s="117"/>
      <c r="BX112" s="180"/>
      <c r="BY112" s="117"/>
      <c r="BZ112" s="181"/>
      <c r="CA112" s="182"/>
      <c r="CB112" s="176"/>
      <c r="CC112" s="176"/>
      <c r="CF112" s="170"/>
      <c r="CG112" s="171"/>
      <c r="CH112" s="170"/>
      <c r="CI112" s="171"/>
    </row>
    <row r="113" spans="2:87" s="108" customFormat="1" hidden="1">
      <c r="B113" s="109"/>
      <c r="C113" s="141" t="e">
        <f t="shared" si="60"/>
        <v>#NUM!</v>
      </c>
      <c r="D113" s="141">
        <f t="shared" si="65"/>
        <v>0</v>
      </c>
      <c r="E113" s="141" t="str">
        <f>IFERROR(DGET($BV$30:$CC$82,F113,G112:G113),"")</f>
        <v/>
      </c>
      <c r="F113" s="142">
        <f t="shared" si="89"/>
        <v>0</v>
      </c>
      <c r="G113" s="142" t="b">
        <f>IF(Q113&gt;0,IF(AND(S113&gt;0,S113&lt;2),CONCATENATE(Q113," ","0-2"),IF(AND(S113&gt;=2,S113&lt;8),CONCATENATE(Q113," ","2-8"),)))</f>
        <v>0</v>
      </c>
      <c r="H113" s="80">
        <f t="shared" si="66"/>
        <v>0</v>
      </c>
      <c r="I113" s="80" t="str">
        <f t="shared" si="90"/>
        <v/>
      </c>
      <c r="J113" s="76"/>
      <c r="K113" s="76"/>
      <c r="L113" s="76"/>
      <c r="M113" s="80"/>
      <c r="N113" s="79"/>
      <c r="O113" s="148"/>
      <c r="P113" s="77"/>
      <c r="Q113" s="81"/>
      <c r="R113" s="77"/>
      <c r="S113" s="146">
        <f t="shared" si="61"/>
        <v>0</v>
      </c>
      <c r="T113" s="141" t="b">
        <f t="shared" si="105"/>
        <v>0</v>
      </c>
      <c r="U113" s="649">
        <f t="shared" si="67"/>
        <v>0</v>
      </c>
      <c r="V113" s="650"/>
      <c r="W113" s="649">
        <f t="shared" si="68"/>
        <v>0</v>
      </c>
      <c r="X113" s="650"/>
      <c r="Y113" s="649">
        <f t="shared" si="69"/>
        <v>0</v>
      </c>
      <c r="Z113" s="650"/>
      <c r="AA113" s="649">
        <f t="shared" si="70"/>
        <v>0</v>
      </c>
      <c r="AB113" s="650"/>
      <c r="AC113" s="649">
        <f t="shared" si="71"/>
        <v>0</v>
      </c>
      <c r="AD113" s="650"/>
      <c r="AE113" s="649">
        <f t="shared" si="72"/>
        <v>0</v>
      </c>
      <c r="AF113" s="650"/>
      <c r="AG113" s="649">
        <f t="shared" si="73"/>
        <v>0</v>
      </c>
      <c r="AH113" s="650"/>
      <c r="AI113" s="649">
        <f t="shared" si="74"/>
        <v>0</v>
      </c>
      <c r="AJ113" s="650"/>
      <c r="AK113" s="649">
        <f t="shared" si="75"/>
        <v>0</v>
      </c>
      <c r="AL113" s="650"/>
      <c r="AM113" s="649">
        <f t="shared" si="76"/>
        <v>0</v>
      </c>
      <c r="AN113" s="650"/>
      <c r="AO113" s="649">
        <f t="shared" si="77"/>
        <v>0</v>
      </c>
      <c r="AP113" s="650"/>
      <c r="AQ113" s="649">
        <f t="shared" si="78"/>
        <v>0</v>
      </c>
      <c r="AR113" s="650"/>
      <c r="AS113" s="651">
        <f t="shared" si="79"/>
        <v>0</v>
      </c>
      <c r="AT113" s="652"/>
      <c r="AU113" s="141">
        <f t="shared" si="92"/>
        <v>0</v>
      </c>
      <c r="AV113" s="141">
        <f t="shared" si="93"/>
        <v>0</v>
      </c>
      <c r="AW113" s="141">
        <f t="shared" si="94"/>
        <v>0</v>
      </c>
      <c r="AX113" s="141">
        <f t="shared" si="95"/>
        <v>0</v>
      </c>
      <c r="AY113" s="141">
        <f t="shared" si="96"/>
        <v>0</v>
      </c>
      <c r="AZ113" s="141">
        <f t="shared" si="97"/>
        <v>0</v>
      </c>
      <c r="BA113" s="141">
        <f t="shared" si="98"/>
        <v>0</v>
      </c>
      <c r="BB113" s="141">
        <f t="shared" si="99"/>
        <v>0</v>
      </c>
      <c r="BC113" s="141">
        <f t="shared" si="100"/>
        <v>0</v>
      </c>
      <c r="BD113" s="141">
        <f t="shared" si="101"/>
        <v>0</v>
      </c>
      <c r="BE113" s="141">
        <f t="shared" si="102"/>
        <v>0</v>
      </c>
      <c r="BF113" s="141">
        <f t="shared" si="103"/>
        <v>0</v>
      </c>
      <c r="BG113" s="141">
        <f t="shared" si="80"/>
        <v>0</v>
      </c>
      <c r="BH113" s="141">
        <f t="shared" si="81"/>
        <v>0</v>
      </c>
      <c r="BI113" s="141">
        <f t="shared" si="104"/>
        <v>0</v>
      </c>
      <c r="BJ113" s="147">
        <f t="shared" si="82"/>
        <v>0</v>
      </c>
      <c r="BK113" s="141">
        <f t="shared" si="83"/>
        <v>0</v>
      </c>
      <c r="BL113" s="141">
        <f t="shared" si="84"/>
        <v>0</v>
      </c>
      <c r="BM113" s="141">
        <f t="shared" si="85"/>
        <v>0</v>
      </c>
      <c r="BN113" s="141">
        <f t="shared" si="86"/>
        <v>0</v>
      </c>
      <c r="BO113" s="141">
        <f t="shared" si="87"/>
        <v>0</v>
      </c>
      <c r="BP113" s="141">
        <f t="shared" si="88"/>
        <v>0</v>
      </c>
      <c r="BT113" s="177"/>
      <c r="BU113" s="173"/>
      <c r="BV113" s="174"/>
      <c r="BW113" s="117"/>
      <c r="BX113" s="180"/>
      <c r="BY113" s="117"/>
      <c r="BZ113" s="181"/>
      <c r="CA113" s="182"/>
      <c r="CB113" s="176"/>
      <c r="CC113" s="176"/>
      <c r="CF113" s="170"/>
      <c r="CG113" s="171"/>
      <c r="CH113" s="170"/>
      <c r="CI113" s="171"/>
    </row>
    <row r="114" spans="2:87" s="108" customFormat="1" hidden="1">
      <c r="B114" s="109"/>
      <c r="C114" s="141" t="e">
        <f t="shared" si="60"/>
        <v>#NUM!</v>
      </c>
      <c r="D114" s="141">
        <f t="shared" si="65"/>
        <v>0</v>
      </c>
      <c r="E114" s="141"/>
      <c r="F114" s="142">
        <f t="shared" si="89"/>
        <v>0</v>
      </c>
      <c r="G114" s="143" t="s">
        <v>146</v>
      </c>
      <c r="H114" s="80">
        <f t="shared" si="66"/>
        <v>0</v>
      </c>
      <c r="I114" s="80" t="str">
        <f t="shared" si="90"/>
        <v/>
      </c>
      <c r="J114" s="165"/>
      <c r="K114" s="144"/>
      <c r="L114" s="144"/>
      <c r="M114" s="76"/>
      <c r="N114" s="77"/>
      <c r="O114" s="145"/>
      <c r="P114" s="77"/>
      <c r="Q114" s="78"/>
      <c r="R114" s="79"/>
      <c r="S114" s="146">
        <f t="shared" si="61"/>
        <v>0</v>
      </c>
      <c r="T114" s="141" t="b">
        <f t="shared" si="105"/>
        <v>0</v>
      </c>
      <c r="U114" s="649">
        <f t="shared" si="67"/>
        <v>0</v>
      </c>
      <c r="V114" s="650"/>
      <c r="W114" s="649">
        <f t="shared" si="68"/>
        <v>0</v>
      </c>
      <c r="X114" s="650"/>
      <c r="Y114" s="649">
        <f t="shared" si="69"/>
        <v>0</v>
      </c>
      <c r="Z114" s="650"/>
      <c r="AA114" s="649">
        <f t="shared" si="70"/>
        <v>0</v>
      </c>
      <c r="AB114" s="650"/>
      <c r="AC114" s="649">
        <f t="shared" si="71"/>
        <v>0</v>
      </c>
      <c r="AD114" s="650"/>
      <c r="AE114" s="649">
        <f t="shared" si="72"/>
        <v>0</v>
      </c>
      <c r="AF114" s="650"/>
      <c r="AG114" s="649">
        <f t="shared" si="73"/>
        <v>0</v>
      </c>
      <c r="AH114" s="650"/>
      <c r="AI114" s="649">
        <f t="shared" si="74"/>
        <v>0</v>
      </c>
      <c r="AJ114" s="650"/>
      <c r="AK114" s="649">
        <f t="shared" si="75"/>
        <v>0</v>
      </c>
      <c r="AL114" s="650"/>
      <c r="AM114" s="649">
        <f t="shared" si="76"/>
        <v>0</v>
      </c>
      <c r="AN114" s="650"/>
      <c r="AO114" s="649">
        <f t="shared" si="77"/>
        <v>0</v>
      </c>
      <c r="AP114" s="650"/>
      <c r="AQ114" s="649">
        <f t="shared" si="78"/>
        <v>0</v>
      </c>
      <c r="AR114" s="650"/>
      <c r="AS114" s="651">
        <f t="shared" si="79"/>
        <v>0</v>
      </c>
      <c r="AT114" s="652"/>
      <c r="AU114" s="141">
        <f t="shared" si="92"/>
        <v>0</v>
      </c>
      <c r="AV114" s="141">
        <f t="shared" si="93"/>
        <v>0</v>
      </c>
      <c r="AW114" s="141">
        <f t="shared" si="94"/>
        <v>0</v>
      </c>
      <c r="AX114" s="141">
        <f t="shared" si="95"/>
        <v>0</v>
      </c>
      <c r="AY114" s="141">
        <f t="shared" si="96"/>
        <v>0</v>
      </c>
      <c r="AZ114" s="141">
        <f t="shared" si="97"/>
        <v>0</v>
      </c>
      <c r="BA114" s="141">
        <f t="shared" si="98"/>
        <v>0</v>
      </c>
      <c r="BB114" s="141">
        <f t="shared" si="99"/>
        <v>0</v>
      </c>
      <c r="BC114" s="141">
        <f t="shared" si="100"/>
        <v>0</v>
      </c>
      <c r="BD114" s="141">
        <f t="shared" si="101"/>
        <v>0</v>
      </c>
      <c r="BE114" s="141">
        <f t="shared" si="102"/>
        <v>0</v>
      </c>
      <c r="BF114" s="141">
        <f t="shared" si="103"/>
        <v>0</v>
      </c>
      <c r="BG114" s="141">
        <f t="shared" si="80"/>
        <v>0</v>
      </c>
      <c r="BH114" s="141">
        <f t="shared" si="81"/>
        <v>0</v>
      </c>
      <c r="BI114" s="141">
        <f t="shared" si="104"/>
        <v>0</v>
      </c>
      <c r="BJ114" s="147">
        <f t="shared" si="82"/>
        <v>0</v>
      </c>
      <c r="BK114" s="141">
        <f t="shared" si="83"/>
        <v>0</v>
      </c>
      <c r="BL114" s="141">
        <f t="shared" si="84"/>
        <v>0</v>
      </c>
      <c r="BM114" s="141">
        <f t="shared" si="85"/>
        <v>0</v>
      </c>
      <c r="BN114" s="141">
        <f t="shared" si="86"/>
        <v>0</v>
      </c>
      <c r="BO114" s="141">
        <f t="shared" si="87"/>
        <v>0</v>
      </c>
      <c r="BP114" s="141">
        <f t="shared" si="88"/>
        <v>0</v>
      </c>
      <c r="BT114" s="177"/>
      <c r="BU114" s="173"/>
      <c r="BV114" s="174"/>
      <c r="BW114" s="117"/>
      <c r="BX114" s="180"/>
      <c r="BY114" s="117"/>
      <c r="BZ114" s="181"/>
      <c r="CA114" s="182"/>
      <c r="CB114" s="176"/>
      <c r="CC114" s="176"/>
      <c r="CF114" s="170"/>
      <c r="CG114" s="171"/>
      <c r="CH114" s="170"/>
      <c r="CI114" s="171"/>
    </row>
    <row r="115" spans="2:87" s="108" customFormat="1" hidden="1">
      <c r="B115" s="109"/>
      <c r="C115" s="141" t="e">
        <f t="shared" si="60"/>
        <v>#NUM!</v>
      </c>
      <c r="D115" s="141">
        <f t="shared" si="65"/>
        <v>0</v>
      </c>
      <c r="E115" s="141" t="str">
        <f>IFERROR(DGET($BV$30:$CC$82,F115,G114:G115),"")</f>
        <v/>
      </c>
      <c r="F115" s="142">
        <f t="shared" si="89"/>
        <v>0</v>
      </c>
      <c r="G115" s="142" t="b">
        <f>IF(Q115&gt;0,IF(AND(S115&gt;0,S115&lt;2),CONCATENATE(Q115," ","0-2"),IF(AND(S115&gt;=2,S115&lt;8),CONCATENATE(Q115," ","2-8"),)))</f>
        <v>0</v>
      </c>
      <c r="H115" s="80">
        <f t="shared" si="66"/>
        <v>0</v>
      </c>
      <c r="I115" s="80" t="str">
        <f t="shared" si="90"/>
        <v/>
      </c>
      <c r="J115" s="76"/>
      <c r="K115" s="76"/>
      <c r="L115" s="76"/>
      <c r="M115" s="80"/>
      <c r="N115" s="79"/>
      <c r="O115" s="148"/>
      <c r="P115" s="77"/>
      <c r="Q115" s="81"/>
      <c r="R115" s="77"/>
      <c r="S115" s="146">
        <f t="shared" si="61"/>
        <v>0</v>
      </c>
      <c r="T115" s="141" t="b">
        <f t="shared" si="105"/>
        <v>0</v>
      </c>
      <c r="U115" s="649">
        <f t="shared" si="67"/>
        <v>0</v>
      </c>
      <c r="V115" s="650"/>
      <c r="W115" s="649">
        <f t="shared" si="68"/>
        <v>0</v>
      </c>
      <c r="X115" s="650"/>
      <c r="Y115" s="649">
        <f t="shared" si="69"/>
        <v>0</v>
      </c>
      <c r="Z115" s="650"/>
      <c r="AA115" s="649">
        <f t="shared" si="70"/>
        <v>0</v>
      </c>
      <c r="AB115" s="650"/>
      <c r="AC115" s="649">
        <f t="shared" si="71"/>
        <v>0</v>
      </c>
      <c r="AD115" s="650"/>
      <c r="AE115" s="649">
        <f t="shared" si="72"/>
        <v>0</v>
      </c>
      <c r="AF115" s="650"/>
      <c r="AG115" s="649">
        <f t="shared" si="73"/>
        <v>0</v>
      </c>
      <c r="AH115" s="650"/>
      <c r="AI115" s="649">
        <f t="shared" si="74"/>
        <v>0</v>
      </c>
      <c r="AJ115" s="650"/>
      <c r="AK115" s="649">
        <f t="shared" si="75"/>
        <v>0</v>
      </c>
      <c r="AL115" s="650"/>
      <c r="AM115" s="649">
        <f t="shared" si="76"/>
        <v>0</v>
      </c>
      <c r="AN115" s="650"/>
      <c r="AO115" s="649">
        <f t="shared" si="77"/>
        <v>0</v>
      </c>
      <c r="AP115" s="650"/>
      <c r="AQ115" s="649">
        <f t="shared" si="78"/>
        <v>0</v>
      </c>
      <c r="AR115" s="650"/>
      <c r="AS115" s="651">
        <f t="shared" si="79"/>
        <v>0</v>
      </c>
      <c r="AT115" s="652"/>
      <c r="AU115" s="141">
        <f t="shared" si="92"/>
        <v>0</v>
      </c>
      <c r="AV115" s="141">
        <f t="shared" si="93"/>
        <v>0</v>
      </c>
      <c r="AW115" s="141">
        <f t="shared" si="94"/>
        <v>0</v>
      </c>
      <c r="AX115" s="141">
        <f t="shared" si="95"/>
        <v>0</v>
      </c>
      <c r="AY115" s="141">
        <f t="shared" si="96"/>
        <v>0</v>
      </c>
      <c r="AZ115" s="141">
        <f t="shared" si="97"/>
        <v>0</v>
      </c>
      <c r="BA115" s="141">
        <f t="shared" si="98"/>
        <v>0</v>
      </c>
      <c r="BB115" s="141">
        <f t="shared" si="99"/>
        <v>0</v>
      </c>
      <c r="BC115" s="141">
        <f t="shared" si="100"/>
        <v>0</v>
      </c>
      <c r="BD115" s="141">
        <f t="shared" si="101"/>
        <v>0</v>
      </c>
      <c r="BE115" s="141">
        <f t="shared" si="102"/>
        <v>0</v>
      </c>
      <c r="BF115" s="141">
        <f t="shared" si="103"/>
        <v>0</v>
      </c>
      <c r="BG115" s="141">
        <f t="shared" si="80"/>
        <v>0</v>
      </c>
      <c r="BH115" s="141">
        <f t="shared" si="81"/>
        <v>0</v>
      </c>
      <c r="BI115" s="141">
        <f t="shared" si="104"/>
        <v>0</v>
      </c>
      <c r="BJ115" s="147">
        <f t="shared" si="82"/>
        <v>0</v>
      </c>
      <c r="BK115" s="141">
        <f t="shared" si="83"/>
        <v>0</v>
      </c>
      <c r="BL115" s="141">
        <f t="shared" si="84"/>
        <v>0</v>
      </c>
      <c r="BM115" s="141">
        <f t="shared" si="85"/>
        <v>0</v>
      </c>
      <c r="BN115" s="141">
        <f t="shared" si="86"/>
        <v>0</v>
      </c>
      <c r="BO115" s="141">
        <f t="shared" si="87"/>
        <v>0</v>
      </c>
      <c r="BP115" s="141">
        <f t="shared" si="88"/>
        <v>0</v>
      </c>
      <c r="BT115" s="177"/>
      <c r="BU115" s="173"/>
      <c r="BV115" s="174"/>
      <c r="BW115" s="117"/>
      <c r="BX115" s="180"/>
      <c r="BY115" s="117"/>
      <c r="BZ115" s="181"/>
      <c r="CA115" s="182"/>
      <c r="CB115" s="176"/>
      <c r="CC115" s="176"/>
      <c r="CF115" s="170"/>
      <c r="CG115" s="171"/>
      <c r="CH115" s="170"/>
      <c r="CI115" s="171"/>
    </row>
    <row r="116" spans="2:87" s="108" customFormat="1" hidden="1">
      <c r="B116" s="109"/>
      <c r="C116" s="141" t="e">
        <f t="shared" si="60"/>
        <v>#NUM!</v>
      </c>
      <c r="D116" s="141">
        <f t="shared" si="65"/>
        <v>0</v>
      </c>
      <c r="E116" s="141"/>
      <c r="F116" s="142">
        <f t="shared" si="89"/>
        <v>0</v>
      </c>
      <c r="G116" s="143" t="s">
        <v>146</v>
      </c>
      <c r="H116" s="80">
        <f t="shared" si="66"/>
        <v>0</v>
      </c>
      <c r="I116" s="80" t="str">
        <f t="shared" si="90"/>
        <v/>
      </c>
      <c r="J116" s="144"/>
      <c r="K116" s="144"/>
      <c r="L116" s="144"/>
      <c r="M116" s="76"/>
      <c r="N116" s="77"/>
      <c r="O116" s="145"/>
      <c r="P116" s="77"/>
      <c r="Q116" s="78"/>
      <c r="R116" s="79"/>
      <c r="S116" s="146">
        <f t="shared" si="61"/>
        <v>0</v>
      </c>
      <c r="T116" s="141" t="b">
        <f t="shared" si="105"/>
        <v>0</v>
      </c>
      <c r="U116" s="649">
        <f t="shared" si="67"/>
        <v>0</v>
      </c>
      <c r="V116" s="650"/>
      <c r="W116" s="649">
        <f t="shared" si="68"/>
        <v>0</v>
      </c>
      <c r="X116" s="650"/>
      <c r="Y116" s="649">
        <f t="shared" si="69"/>
        <v>0</v>
      </c>
      <c r="Z116" s="650"/>
      <c r="AA116" s="649">
        <f t="shared" si="70"/>
        <v>0</v>
      </c>
      <c r="AB116" s="650"/>
      <c r="AC116" s="649">
        <f t="shared" si="71"/>
        <v>0</v>
      </c>
      <c r="AD116" s="650"/>
      <c r="AE116" s="649">
        <f t="shared" si="72"/>
        <v>0</v>
      </c>
      <c r="AF116" s="650"/>
      <c r="AG116" s="649">
        <f t="shared" si="73"/>
        <v>0</v>
      </c>
      <c r="AH116" s="650"/>
      <c r="AI116" s="649">
        <f t="shared" si="74"/>
        <v>0</v>
      </c>
      <c r="AJ116" s="650"/>
      <c r="AK116" s="649">
        <f t="shared" si="75"/>
        <v>0</v>
      </c>
      <c r="AL116" s="650"/>
      <c r="AM116" s="649">
        <f t="shared" si="76"/>
        <v>0</v>
      </c>
      <c r="AN116" s="650"/>
      <c r="AO116" s="649">
        <f t="shared" si="77"/>
        <v>0</v>
      </c>
      <c r="AP116" s="650"/>
      <c r="AQ116" s="649">
        <f t="shared" si="78"/>
        <v>0</v>
      </c>
      <c r="AR116" s="650"/>
      <c r="AS116" s="651">
        <f t="shared" si="79"/>
        <v>0</v>
      </c>
      <c r="AT116" s="652"/>
      <c r="AU116" s="141">
        <f t="shared" si="92"/>
        <v>0</v>
      </c>
      <c r="AV116" s="141">
        <f t="shared" si="93"/>
        <v>0</v>
      </c>
      <c r="AW116" s="141">
        <f t="shared" si="94"/>
        <v>0</v>
      </c>
      <c r="AX116" s="141">
        <f t="shared" si="95"/>
        <v>0</v>
      </c>
      <c r="AY116" s="141">
        <f t="shared" si="96"/>
        <v>0</v>
      </c>
      <c r="AZ116" s="141">
        <f t="shared" si="97"/>
        <v>0</v>
      </c>
      <c r="BA116" s="141">
        <f t="shared" si="98"/>
        <v>0</v>
      </c>
      <c r="BB116" s="141">
        <f t="shared" si="99"/>
        <v>0</v>
      </c>
      <c r="BC116" s="141">
        <f t="shared" si="100"/>
        <v>0</v>
      </c>
      <c r="BD116" s="141">
        <f t="shared" si="101"/>
        <v>0</v>
      </c>
      <c r="BE116" s="141">
        <f t="shared" si="102"/>
        <v>0</v>
      </c>
      <c r="BF116" s="141">
        <f t="shared" si="103"/>
        <v>0</v>
      </c>
      <c r="BG116" s="141">
        <f t="shared" si="80"/>
        <v>0</v>
      </c>
      <c r="BH116" s="141">
        <f t="shared" si="81"/>
        <v>0</v>
      </c>
      <c r="BI116" s="141">
        <f t="shared" si="104"/>
        <v>0</v>
      </c>
      <c r="BJ116" s="147">
        <f t="shared" si="82"/>
        <v>0</v>
      </c>
      <c r="BK116" s="141">
        <f t="shared" si="83"/>
        <v>0</v>
      </c>
      <c r="BL116" s="141">
        <f t="shared" si="84"/>
        <v>0</v>
      </c>
      <c r="BM116" s="141">
        <f t="shared" si="85"/>
        <v>0</v>
      </c>
      <c r="BN116" s="141">
        <f t="shared" si="86"/>
        <v>0</v>
      </c>
      <c r="BO116" s="141">
        <f t="shared" si="87"/>
        <v>0</v>
      </c>
      <c r="BP116" s="141">
        <f t="shared" si="88"/>
        <v>0</v>
      </c>
      <c r="BT116" s="177"/>
      <c r="BU116" s="173"/>
      <c r="BV116" s="174"/>
      <c r="BW116" s="117"/>
      <c r="BX116" s="180"/>
      <c r="BY116" s="117"/>
      <c r="BZ116" s="181"/>
      <c r="CA116" s="182"/>
      <c r="CB116" s="176"/>
      <c r="CC116" s="176"/>
      <c r="CF116" s="170"/>
      <c r="CG116" s="171"/>
      <c r="CH116" s="170"/>
      <c r="CI116" s="171"/>
    </row>
    <row r="117" spans="2:87" s="108" customFormat="1" hidden="1">
      <c r="B117" s="109"/>
      <c r="C117" s="141" t="e">
        <f t="shared" si="60"/>
        <v>#NUM!</v>
      </c>
      <c r="D117" s="141">
        <f t="shared" si="65"/>
        <v>0</v>
      </c>
      <c r="E117" s="141" t="str">
        <f>IFERROR(DGET($BV$30:$CC$82,F117,G116:G117),"")</f>
        <v/>
      </c>
      <c r="F117" s="142">
        <f t="shared" si="89"/>
        <v>0</v>
      </c>
      <c r="G117" s="142" t="b">
        <f>IF(Q117&gt;0,IF(AND(S117&gt;0,S117&lt;2),CONCATENATE(Q117," ","0-2"),IF(AND(S117&gt;=2,S117&lt;8),CONCATENATE(Q117," ","2-8"),)))</f>
        <v>0</v>
      </c>
      <c r="H117" s="80">
        <f t="shared" si="66"/>
        <v>0</v>
      </c>
      <c r="I117" s="80" t="str">
        <f t="shared" si="90"/>
        <v/>
      </c>
      <c r="J117" s="76"/>
      <c r="K117" s="76"/>
      <c r="L117" s="76"/>
      <c r="M117" s="80"/>
      <c r="N117" s="79"/>
      <c r="O117" s="148"/>
      <c r="P117" s="77"/>
      <c r="Q117" s="81"/>
      <c r="R117" s="77"/>
      <c r="S117" s="146">
        <f t="shared" si="61"/>
        <v>0</v>
      </c>
      <c r="T117" s="141" t="b">
        <f t="shared" si="105"/>
        <v>0</v>
      </c>
      <c r="U117" s="649">
        <f t="shared" si="67"/>
        <v>0</v>
      </c>
      <c r="V117" s="650"/>
      <c r="W117" s="649">
        <f t="shared" si="68"/>
        <v>0</v>
      </c>
      <c r="X117" s="650"/>
      <c r="Y117" s="649">
        <f t="shared" si="69"/>
        <v>0</v>
      </c>
      <c r="Z117" s="650"/>
      <c r="AA117" s="649">
        <f t="shared" si="70"/>
        <v>0</v>
      </c>
      <c r="AB117" s="650"/>
      <c r="AC117" s="649">
        <f t="shared" si="71"/>
        <v>0</v>
      </c>
      <c r="AD117" s="650"/>
      <c r="AE117" s="649">
        <f t="shared" si="72"/>
        <v>0</v>
      </c>
      <c r="AF117" s="650"/>
      <c r="AG117" s="649">
        <f t="shared" si="73"/>
        <v>0</v>
      </c>
      <c r="AH117" s="650"/>
      <c r="AI117" s="649">
        <f t="shared" si="74"/>
        <v>0</v>
      </c>
      <c r="AJ117" s="650"/>
      <c r="AK117" s="649">
        <f t="shared" si="75"/>
        <v>0</v>
      </c>
      <c r="AL117" s="650"/>
      <c r="AM117" s="649">
        <f t="shared" si="76"/>
        <v>0</v>
      </c>
      <c r="AN117" s="650"/>
      <c r="AO117" s="649">
        <f t="shared" si="77"/>
        <v>0</v>
      </c>
      <c r="AP117" s="650"/>
      <c r="AQ117" s="649">
        <f t="shared" si="78"/>
        <v>0</v>
      </c>
      <c r="AR117" s="650"/>
      <c r="AS117" s="651">
        <f t="shared" si="79"/>
        <v>0</v>
      </c>
      <c r="AT117" s="652"/>
      <c r="AU117" s="141">
        <f t="shared" si="92"/>
        <v>0</v>
      </c>
      <c r="AV117" s="141">
        <f>IF(AND(L117="seco",S117&gt;=1.25,S117&lt;3),S117*P117*2,0)</f>
        <v>0</v>
      </c>
      <c r="AW117" s="141">
        <f t="shared" si="94"/>
        <v>0</v>
      </c>
      <c r="AX117" s="141">
        <f t="shared" si="95"/>
        <v>0</v>
      </c>
      <c r="AY117" s="141">
        <f t="shared" si="96"/>
        <v>0</v>
      </c>
      <c r="AZ117" s="141">
        <f t="shared" si="97"/>
        <v>0</v>
      </c>
      <c r="BA117" s="141">
        <f t="shared" si="98"/>
        <v>0</v>
      </c>
      <c r="BB117" s="141">
        <f t="shared" si="99"/>
        <v>0</v>
      </c>
      <c r="BC117" s="141">
        <f t="shared" si="100"/>
        <v>0</v>
      </c>
      <c r="BD117" s="141">
        <f t="shared" si="101"/>
        <v>0</v>
      </c>
      <c r="BE117" s="141">
        <f t="shared" si="102"/>
        <v>0</v>
      </c>
      <c r="BF117" s="141">
        <f t="shared" si="103"/>
        <v>0</v>
      </c>
      <c r="BG117" s="141">
        <f t="shared" si="80"/>
        <v>0</v>
      </c>
      <c r="BH117" s="141">
        <f t="shared" si="81"/>
        <v>0</v>
      </c>
      <c r="BI117" s="141">
        <f t="shared" si="104"/>
        <v>0</v>
      </c>
      <c r="BJ117" s="147">
        <f t="shared" si="82"/>
        <v>0</v>
      </c>
      <c r="BK117" s="141">
        <f t="shared" si="83"/>
        <v>0</v>
      </c>
      <c r="BL117" s="141">
        <f t="shared" si="84"/>
        <v>0</v>
      </c>
      <c r="BM117" s="141">
        <f t="shared" si="85"/>
        <v>0</v>
      </c>
      <c r="BN117" s="141">
        <f t="shared" si="86"/>
        <v>0</v>
      </c>
      <c r="BO117" s="141">
        <f t="shared" si="87"/>
        <v>0</v>
      </c>
      <c r="BP117" s="141">
        <f t="shared" si="88"/>
        <v>0</v>
      </c>
      <c r="BT117" s="177"/>
      <c r="BU117" s="173"/>
      <c r="BV117" s="174"/>
      <c r="BW117" s="117"/>
      <c r="BX117" s="180"/>
      <c r="BY117" s="117"/>
      <c r="BZ117" s="181"/>
      <c r="CA117" s="182"/>
      <c r="CB117" s="176"/>
      <c r="CC117" s="176"/>
      <c r="CF117" s="170"/>
      <c r="CG117" s="171"/>
      <c r="CH117" s="170"/>
      <c r="CI117" s="171"/>
    </row>
    <row r="118" spans="2:87" s="108" customFormat="1" hidden="1">
      <c r="B118" s="109"/>
      <c r="C118" s="141" t="e">
        <f t="shared" si="60"/>
        <v>#NUM!</v>
      </c>
      <c r="D118" s="141">
        <f t="shared" si="65"/>
        <v>0</v>
      </c>
      <c r="E118" s="141"/>
      <c r="F118" s="142">
        <f t="shared" si="89"/>
        <v>0</v>
      </c>
      <c r="G118" s="143" t="s">
        <v>146</v>
      </c>
      <c r="H118" s="80">
        <f t="shared" si="66"/>
        <v>0</v>
      </c>
      <c r="I118" s="80" t="str">
        <f t="shared" si="90"/>
        <v/>
      </c>
      <c r="J118" s="144"/>
      <c r="K118" s="144"/>
      <c r="L118" s="144"/>
      <c r="M118" s="76"/>
      <c r="N118" s="77"/>
      <c r="O118" s="145"/>
      <c r="P118" s="77"/>
      <c r="Q118" s="78"/>
      <c r="R118" s="79"/>
      <c r="S118" s="146">
        <f t="shared" si="61"/>
        <v>0</v>
      </c>
      <c r="T118" s="141" t="b">
        <f t="shared" si="105"/>
        <v>0</v>
      </c>
      <c r="U118" s="649">
        <f t="shared" si="67"/>
        <v>0</v>
      </c>
      <c r="V118" s="650"/>
      <c r="W118" s="649">
        <f t="shared" si="68"/>
        <v>0</v>
      </c>
      <c r="X118" s="650"/>
      <c r="Y118" s="649">
        <f t="shared" si="69"/>
        <v>0</v>
      </c>
      <c r="Z118" s="650"/>
      <c r="AA118" s="649">
        <f t="shared" si="70"/>
        <v>0</v>
      </c>
      <c r="AB118" s="650"/>
      <c r="AC118" s="649">
        <f t="shared" si="71"/>
        <v>0</v>
      </c>
      <c r="AD118" s="650"/>
      <c r="AE118" s="649">
        <f t="shared" si="72"/>
        <v>0</v>
      </c>
      <c r="AF118" s="650"/>
      <c r="AG118" s="649">
        <f t="shared" si="73"/>
        <v>0</v>
      </c>
      <c r="AH118" s="650"/>
      <c r="AI118" s="649">
        <f t="shared" si="74"/>
        <v>0</v>
      </c>
      <c r="AJ118" s="650"/>
      <c r="AK118" s="649">
        <f t="shared" si="75"/>
        <v>0</v>
      </c>
      <c r="AL118" s="650"/>
      <c r="AM118" s="649">
        <f t="shared" si="76"/>
        <v>0</v>
      </c>
      <c r="AN118" s="650"/>
      <c r="AO118" s="649">
        <f t="shared" si="77"/>
        <v>0</v>
      </c>
      <c r="AP118" s="650"/>
      <c r="AQ118" s="649">
        <f t="shared" si="78"/>
        <v>0</v>
      </c>
      <c r="AR118" s="650"/>
      <c r="AS118" s="651">
        <f t="shared" si="79"/>
        <v>0</v>
      </c>
      <c r="AT118" s="652"/>
      <c r="AU118" s="141">
        <f t="shared" si="92"/>
        <v>0</v>
      </c>
      <c r="AV118" s="141">
        <f t="shared" si="93"/>
        <v>0</v>
      </c>
      <c r="AW118" s="141">
        <f t="shared" si="94"/>
        <v>0</v>
      </c>
      <c r="AX118" s="141">
        <f t="shared" si="95"/>
        <v>0</v>
      </c>
      <c r="AY118" s="141">
        <f t="shared" si="96"/>
        <v>0</v>
      </c>
      <c r="AZ118" s="141">
        <f t="shared" si="97"/>
        <v>0</v>
      </c>
      <c r="BA118" s="141">
        <f t="shared" si="98"/>
        <v>0</v>
      </c>
      <c r="BB118" s="141">
        <f t="shared" si="99"/>
        <v>0</v>
      </c>
      <c r="BC118" s="141">
        <f t="shared" si="100"/>
        <v>0</v>
      </c>
      <c r="BD118" s="141">
        <f t="shared" si="101"/>
        <v>0</v>
      </c>
      <c r="BE118" s="141">
        <f t="shared" si="102"/>
        <v>0</v>
      </c>
      <c r="BF118" s="141">
        <f t="shared" si="103"/>
        <v>0</v>
      </c>
      <c r="BG118" s="141">
        <f t="shared" si="80"/>
        <v>0</v>
      </c>
      <c r="BH118" s="141">
        <f t="shared" si="81"/>
        <v>0</v>
      </c>
      <c r="BI118" s="141">
        <f t="shared" si="104"/>
        <v>0</v>
      </c>
      <c r="BJ118" s="147">
        <f t="shared" si="82"/>
        <v>0</v>
      </c>
      <c r="BK118" s="141">
        <f t="shared" si="83"/>
        <v>0</v>
      </c>
      <c r="BL118" s="141">
        <f t="shared" si="84"/>
        <v>0</v>
      </c>
      <c r="BM118" s="141">
        <f t="shared" si="85"/>
        <v>0</v>
      </c>
      <c r="BN118" s="141">
        <f t="shared" si="86"/>
        <v>0</v>
      </c>
      <c r="BO118" s="141">
        <f t="shared" si="87"/>
        <v>0</v>
      </c>
      <c r="BP118" s="141">
        <f t="shared" si="88"/>
        <v>0</v>
      </c>
      <c r="BT118" s="177"/>
      <c r="BU118" s="173"/>
      <c r="BV118" s="174"/>
      <c r="BW118" s="117"/>
      <c r="BX118" s="180"/>
      <c r="BY118" s="117"/>
      <c r="BZ118" s="181"/>
      <c r="CA118" s="182"/>
      <c r="CB118" s="176"/>
      <c r="CC118" s="176"/>
      <c r="CF118" s="170"/>
      <c r="CG118" s="171"/>
      <c r="CH118" s="170"/>
      <c r="CI118" s="171"/>
    </row>
    <row r="119" spans="2:87" s="108" customFormat="1" hidden="1">
      <c r="B119" s="109"/>
      <c r="C119" s="141" t="e">
        <f t="shared" si="60"/>
        <v>#NUM!</v>
      </c>
      <c r="D119" s="141">
        <f t="shared" si="65"/>
        <v>0</v>
      </c>
      <c r="E119" s="141" t="str">
        <f>IFERROR(DGET($BV$30:$CC$82,F119,G118:G119),"")</f>
        <v/>
      </c>
      <c r="F119" s="142">
        <f t="shared" si="89"/>
        <v>0</v>
      </c>
      <c r="G119" s="142" t="b">
        <f>IF(Q119&gt;0,IF(AND(S119&gt;0,S119&lt;2),CONCATENATE(Q119," ","0-2"),IF(AND(S119&gt;=2,S119&lt;8),CONCATENATE(Q119," ","2-8"),)))</f>
        <v>0</v>
      </c>
      <c r="H119" s="80">
        <f t="shared" si="66"/>
        <v>0</v>
      </c>
      <c r="I119" s="80" t="str">
        <f t="shared" si="90"/>
        <v/>
      </c>
      <c r="J119" s="76"/>
      <c r="K119" s="76"/>
      <c r="L119" s="76"/>
      <c r="M119" s="80"/>
      <c r="N119" s="79"/>
      <c r="O119" s="148"/>
      <c r="P119" s="77"/>
      <c r="Q119" s="81"/>
      <c r="R119" s="77"/>
      <c r="S119" s="146">
        <f t="shared" si="61"/>
        <v>0</v>
      </c>
      <c r="T119" s="141" t="b">
        <f t="shared" si="105"/>
        <v>0</v>
      </c>
      <c r="U119" s="649">
        <f t="shared" si="67"/>
        <v>0</v>
      </c>
      <c r="V119" s="650"/>
      <c r="W119" s="649">
        <f t="shared" si="68"/>
        <v>0</v>
      </c>
      <c r="X119" s="650"/>
      <c r="Y119" s="649">
        <f t="shared" si="69"/>
        <v>0</v>
      </c>
      <c r="Z119" s="650"/>
      <c r="AA119" s="649">
        <f t="shared" si="70"/>
        <v>0</v>
      </c>
      <c r="AB119" s="650"/>
      <c r="AC119" s="649">
        <f t="shared" si="71"/>
        <v>0</v>
      </c>
      <c r="AD119" s="650"/>
      <c r="AE119" s="649">
        <f t="shared" si="72"/>
        <v>0</v>
      </c>
      <c r="AF119" s="650"/>
      <c r="AG119" s="649">
        <f t="shared" si="73"/>
        <v>0</v>
      </c>
      <c r="AH119" s="650"/>
      <c r="AI119" s="649">
        <f t="shared" si="74"/>
        <v>0</v>
      </c>
      <c r="AJ119" s="650"/>
      <c r="AK119" s="649">
        <f t="shared" si="75"/>
        <v>0</v>
      </c>
      <c r="AL119" s="650"/>
      <c r="AM119" s="649">
        <f t="shared" si="76"/>
        <v>0</v>
      </c>
      <c r="AN119" s="650"/>
      <c r="AO119" s="649">
        <f t="shared" si="77"/>
        <v>0</v>
      </c>
      <c r="AP119" s="650"/>
      <c r="AQ119" s="649">
        <f t="shared" si="78"/>
        <v>0</v>
      </c>
      <c r="AR119" s="650"/>
      <c r="AS119" s="651">
        <f t="shared" si="79"/>
        <v>0</v>
      </c>
      <c r="AT119" s="652"/>
      <c r="AU119" s="141">
        <f t="shared" si="92"/>
        <v>0</v>
      </c>
      <c r="AV119" s="141">
        <f t="shared" si="93"/>
        <v>0</v>
      </c>
      <c r="AW119" s="141">
        <f t="shared" si="94"/>
        <v>0</v>
      </c>
      <c r="AX119" s="141">
        <f t="shared" si="95"/>
        <v>0</v>
      </c>
      <c r="AY119" s="141">
        <f t="shared" si="96"/>
        <v>0</v>
      </c>
      <c r="AZ119" s="141">
        <f t="shared" si="97"/>
        <v>0</v>
      </c>
      <c r="BA119" s="141">
        <f t="shared" si="98"/>
        <v>0</v>
      </c>
      <c r="BB119" s="141">
        <f t="shared" si="99"/>
        <v>0</v>
      </c>
      <c r="BC119" s="141">
        <f t="shared" si="100"/>
        <v>0</v>
      </c>
      <c r="BD119" s="141">
        <f t="shared" si="101"/>
        <v>0</v>
      </c>
      <c r="BE119" s="141">
        <f t="shared" si="102"/>
        <v>0</v>
      </c>
      <c r="BF119" s="141">
        <f t="shared" si="103"/>
        <v>0</v>
      </c>
      <c r="BG119" s="141">
        <f t="shared" si="80"/>
        <v>0</v>
      </c>
      <c r="BH119" s="141">
        <f t="shared" si="81"/>
        <v>0</v>
      </c>
      <c r="BI119" s="141">
        <f t="shared" si="104"/>
        <v>0</v>
      </c>
      <c r="BJ119" s="147">
        <f t="shared" si="82"/>
        <v>0</v>
      </c>
      <c r="BK119" s="141">
        <f t="shared" si="83"/>
        <v>0</v>
      </c>
      <c r="BL119" s="141">
        <f t="shared" si="84"/>
        <v>0</v>
      </c>
      <c r="BM119" s="141">
        <f t="shared" si="85"/>
        <v>0</v>
      </c>
      <c r="BN119" s="141">
        <f t="shared" si="86"/>
        <v>0</v>
      </c>
      <c r="BO119" s="141">
        <f t="shared" si="87"/>
        <v>0</v>
      </c>
      <c r="BP119" s="141">
        <f t="shared" si="88"/>
        <v>0</v>
      </c>
      <c r="BT119" s="177"/>
      <c r="BU119" s="173"/>
      <c r="BV119" s="174"/>
      <c r="BW119" s="117"/>
      <c r="BX119" s="180"/>
      <c r="BY119" s="117"/>
      <c r="BZ119" s="181"/>
      <c r="CA119" s="182"/>
      <c r="CB119" s="176"/>
      <c r="CC119" s="176"/>
      <c r="CF119" s="170"/>
      <c r="CG119" s="171"/>
      <c r="CH119" s="170"/>
      <c r="CI119" s="171"/>
    </row>
    <row r="120" spans="2:87" s="108" customFormat="1" hidden="1">
      <c r="B120" s="109"/>
      <c r="C120" s="141" t="e">
        <f t="shared" si="60"/>
        <v>#NUM!</v>
      </c>
      <c r="D120" s="141">
        <f t="shared" si="65"/>
        <v>0</v>
      </c>
      <c r="E120" s="141"/>
      <c r="F120" s="142">
        <f t="shared" si="89"/>
        <v>0</v>
      </c>
      <c r="G120" s="143" t="s">
        <v>146</v>
      </c>
      <c r="H120" s="80">
        <f t="shared" si="66"/>
        <v>0</v>
      </c>
      <c r="I120" s="80" t="str">
        <f t="shared" si="90"/>
        <v/>
      </c>
      <c r="J120" s="144"/>
      <c r="K120" s="144"/>
      <c r="L120" s="144"/>
      <c r="M120" s="76"/>
      <c r="N120" s="77"/>
      <c r="O120" s="145"/>
      <c r="P120" s="77"/>
      <c r="Q120" s="78"/>
      <c r="R120" s="79"/>
      <c r="S120" s="146">
        <f t="shared" si="61"/>
        <v>0</v>
      </c>
      <c r="T120" s="141" t="b">
        <f t="shared" si="105"/>
        <v>0</v>
      </c>
      <c r="U120" s="649">
        <f t="shared" si="67"/>
        <v>0</v>
      </c>
      <c r="V120" s="650"/>
      <c r="W120" s="649">
        <f t="shared" si="68"/>
        <v>0</v>
      </c>
      <c r="X120" s="650"/>
      <c r="Y120" s="649">
        <f t="shared" si="69"/>
        <v>0</v>
      </c>
      <c r="Z120" s="650"/>
      <c r="AA120" s="649">
        <f t="shared" si="70"/>
        <v>0</v>
      </c>
      <c r="AB120" s="650"/>
      <c r="AC120" s="649">
        <f t="shared" si="71"/>
        <v>0</v>
      </c>
      <c r="AD120" s="650"/>
      <c r="AE120" s="649">
        <f t="shared" si="72"/>
        <v>0</v>
      </c>
      <c r="AF120" s="650"/>
      <c r="AG120" s="649">
        <f t="shared" si="73"/>
        <v>0</v>
      </c>
      <c r="AH120" s="650"/>
      <c r="AI120" s="649">
        <f t="shared" si="74"/>
        <v>0</v>
      </c>
      <c r="AJ120" s="650"/>
      <c r="AK120" s="649">
        <f t="shared" si="75"/>
        <v>0</v>
      </c>
      <c r="AL120" s="650"/>
      <c r="AM120" s="649">
        <f t="shared" si="76"/>
        <v>0</v>
      </c>
      <c r="AN120" s="650"/>
      <c r="AO120" s="649">
        <f t="shared" si="77"/>
        <v>0</v>
      </c>
      <c r="AP120" s="650"/>
      <c r="AQ120" s="649">
        <f t="shared" si="78"/>
        <v>0</v>
      </c>
      <c r="AR120" s="650"/>
      <c r="AS120" s="651">
        <f t="shared" si="79"/>
        <v>0</v>
      </c>
      <c r="AT120" s="652"/>
      <c r="AU120" s="141">
        <f t="shared" si="92"/>
        <v>0</v>
      </c>
      <c r="AV120" s="141">
        <f t="shared" si="93"/>
        <v>0</v>
      </c>
      <c r="AW120" s="141">
        <f t="shared" si="94"/>
        <v>0</v>
      </c>
      <c r="AX120" s="141">
        <f t="shared" si="95"/>
        <v>0</v>
      </c>
      <c r="AY120" s="141">
        <f t="shared" si="96"/>
        <v>0</v>
      </c>
      <c r="AZ120" s="141">
        <f t="shared" si="97"/>
        <v>0</v>
      </c>
      <c r="BA120" s="141">
        <f t="shared" si="98"/>
        <v>0</v>
      </c>
      <c r="BB120" s="141">
        <f t="shared" si="99"/>
        <v>0</v>
      </c>
      <c r="BC120" s="141">
        <f t="shared" si="100"/>
        <v>0</v>
      </c>
      <c r="BD120" s="141">
        <f t="shared" si="101"/>
        <v>0</v>
      </c>
      <c r="BE120" s="141">
        <f t="shared" si="102"/>
        <v>0</v>
      </c>
      <c r="BF120" s="141">
        <f t="shared" si="103"/>
        <v>0</v>
      </c>
      <c r="BG120" s="141">
        <f t="shared" si="80"/>
        <v>0</v>
      </c>
      <c r="BH120" s="141">
        <f t="shared" si="81"/>
        <v>0</v>
      </c>
      <c r="BI120" s="141">
        <f t="shared" si="104"/>
        <v>0</v>
      </c>
      <c r="BJ120" s="147">
        <f t="shared" si="82"/>
        <v>0</v>
      </c>
      <c r="BK120" s="141">
        <f t="shared" si="83"/>
        <v>0</v>
      </c>
      <c r="BL120" s="141">
        <f t="shared" si="84"/>
        <v>0</v>
      </c>
      <c r="BM120" s="141">
        <f t="shared" si="85"/>
        <v>0</v>
      </c>
      <c r="BN120" s="141">
        <f t="shared" si="86"/>
        <v>0</v>
      </c>
      <c r="BO120" s="141">
        <f t="shared" si="87"/>
        <v>0</v>
      </c>
      <c r="BP120" s="141">
        <f t="shared" si="88"/>
        <v>0</v>
      </c>
      <c r="BT120" s="177"/>
      <c r="BU120" s="173"/>
      <c r="BV120" s="174"/>
      <c r="BW120" s="117"/>
      <c r="BX120" s="180"/>
      <c r="BY120" s="117"/>
      <c r="BZ120" s="181"/>
      <c r="CA120" s="182"/>
      <c r="CB120" s="176"/>
      <c r="CC120" s="176"/>
      <c r="CF120" s="170"/>
      <c r="CG120" s="171"/>
      <c r="CH120" s="170"/>
      <c r="CI120" s="171"/>
    </row>
    <row r="121" spans="2:87" s="108" customFormat="1" hidden="1">
      <c r="B121" s="109"/>
      <c r="C121" s="141" t="e">
        <f t="shared" si="60"/>
        <v>#NUM!</v>
      </c>
      <c r="D121" s="141">
        <f t="shared" si="65"/>
        <v>0</v>
      </c>
      <c r="E121" s="141" t="str">
        <f>IFERROR(DGET($BV$30:$CC$82,F121,G120:G121),"")</f>
        <v/>
      </c>
      <c r="F121" s="142">
        <f t="shared" si="89"/>
        <v>0</v>
      </c>
      <c r="G121" s="142" t="b">
        <f>IF(Q121&gt;0,IF(AND(S121&gt;0,S121&lt;2),CONCATENATE(Q121," ","0-2"),IF(AND(S121&gt;=2,S121&lt;8),CONCATENATE(Q121," ","2-8"),)))</f>
        <v>0</v>
      </c>
      <c r="H121" s="80">
        <f t="shared" si="66"/>
        <v>0</v>
      </c>
      <c r="I121" s="80" t="str">
        <f t="shared" si="90"/>
        <v/>
      </c>
      <c r="J121" s="76"/>
      <c r="K121" s="76"/>
      <c r="L121" s="76"/>
      <c r="M121" s="80"/>
      <c r="N121" s="79"/>
      <c r="O121" s="148"/>
      <c r="P121" s="77"/>
      <c r="Q121" s="81"/>
      <c r="R121" s="77"/>
      <c r="S121" s="146">
        <f t="shared" si="61"/>
        <v>0</v>
      </c>
      <c r="T121" s="141" t="b">
        <f t="shared" si="105"/>
        <v>0</v>
      </c>
      <c r="U121" s="649">
        <f t="shared" si="67"/>
        <v>0</v>
      </c>
      <c r="V121" s="650"/>
      <c r="W121" s="649">
        <f t="shared" si="68"/>
        <v>0</v>
      </c>
      <c r="X121" s="650"/>
      <c r="Y121" s="649">
        <f t="shared" si="69"/>
        <v>0</v>
      </c>
      <c r="Z121" s="650"/>
      <c r="AA121" s="649">
        <f t="shared" si="70"/>
        <v>0</v>
      </c>
      <c r="AB121" s="650"/>
      <c r="AC121" s="649">
        <f t="shared" si="71"/>
        <v>0</v>
      </c>
      <c r="AD121" s="650"/>
      <c r="AE121" s="649">
        <f t="shared" si="72"/>
        <v>0</v>
      </c>
      <c r="AF121" s="650"/>
      <c r="AG121" s="649">
        <f t="shared" si="73"/>
        <v>0</v>
      </c>
      <c r="AH121" s="650"/>
      <c r="AI121" s="649">
        <f t="shared" si="74"/>
        <v>0</v>
      </c>
      <c r="AJ121" s="650"/>
      <c r="AK121" s="649">
        <f t="shared" si="75"/>
        <v>0</v>
      </c>
      <c r="AL121" s="650"/>
      <c r="AM121" s="649">
        <f t="shared" si="76"/>
        <v>0</v>
      </c>
      <c r="AN121" s="650"/>
      <c r="AO121" s="649">
        <f t="shared" si="77"/>
        <v>0</v>
      </c>
      <c r="AP121" s="650"/>
      <c r="AQ121" s="649">
        <f t="shared" si="78"/>
        <v>0</v>
      </c>
      <c r="AR121" s="650"/>
      <c r="AS121" s="651">
        <f t="shared" si="79"/>
        <v>0</v>
      </c>
      <c r="AT121" s="652"/>
      <c r="AU121" s="141">
        <f t="shared" si="92"/>
        <v>0</v>
      </c>
      <c r="AV121" s="141">
        <f t="shared" si="93"/>
        <v>0</v>
      </c>
      <c r="AW121" s="141">
        <f t="shared" si="94"/>
        <v>0</v>
      </c>
      <c r="AX121" s="141">
        <f t="shared" si="95"/>
        <v>0</v>
      </c>
      <c r="AY121" s="141">
        <f t="shared" si="96"/>
        <v>0</v>
      </c>
      <c r="AZ121" s="141">
        <f t="shared" si="97"/>
        <v>0</v>
      </c>
      <c r="BA121" s="141">
        <f t="shared" si="98"/>
        <v>0</v>
      </c>
      <c r="BB121" s="141">
        <f t="shared" si="99"/>
        <v>0</v>
      </c>
      <c r="BC121" s="141">
        <f t="shared" si="100"/>
        <v>0</v>
      </c>
      <c r="BD121" s="141">
        <f t="shared" si="101"/>
        <v>0</v>
      </c>
      <c r="BE121" s="141">
        <f t="shared" si="102"/>
        <v>0</v>
      </c>
      <c r="BF121" s="141">
        <f t="shared" si="103"/>
        <v>0</v>
      </c>
      <c r="BG121" s="141">
        <f t="shared" si="80"/>
        <v>0</v>
      </c>
      <c r="BH121" s="141">
        <f t="shared" si="81"/>
        <v>0</v>
      </c>
      <c r="BI121" s="141">
        <f t="shared" si="104"/>
        <v>0</v>
      </c>
      <c r="BJ121" s="147">
        <f t="shared" si="82"/>
        <v>0</v>
      </c>
      <c r="BK121" s="141">
        <f t="shared" si="83"/>
        <v>0</v>
      </c>
      <c r="BL121" s="141">
        <f t="shared" si="84"/>
        <v>0</v>
      </c>
      <c r="BM121" s="141">
        <f t="shared" si="85"/>
        <v>0</v>
      </c>
      <c r="BN121" s="141">
        <f t="shared" si="86"/>
        <v>0</v>
      </c>
      <c r="BO121" s="141">
        <f t="shared" si="87"/>
        <v>0</v>
      </c>
      <c r="BP121" s="141">
        <f t="shared" si="88"/>
        <v>0</v>
      </c>
      <c r="BT121" s="177"/>
      <c r="BU121" s="173"/>
      <c r="BV121" s="174"/>
      <c r="BW121" s="117"/>
      <c r="BX121" s="180"/>
      <c r="BY121" s="117"/>
      <c r="BZ121" s="181"/>
      <c r="CA121" s="182"/>
      <c r="CB121" s="176"/>
      <c r="CC121" s="176"/>
      <c r="CF121" s="170"/>
      <c r="CG121" s="171"/>
      <c r="CH121" s="170"/>
      <c r="CI121" s="171"/>
    </row>
    <row r="122" spans="2:87" s="108" customFormat="1" hidden="1">
      <c r="B122" s="109"/>
      <c r="C122" s="141" t="e">
        <f t="shared" si="60"/>
        <v>#NUM!</v>
      </c>
      <c r="D122" s="141">
        <f t="shared" si="65"/>
        <v>0</v>
      </c>
      <c r="E122" s="141"/>
      <c r="F122" s="142">
        <f t="shared" si="89"/>
        <v>0</v>
      </c>
      <c r="G122" s="143" t="s">
        <v>146</v>
      </c>
      <c r="H122" s="80">
        <f t="shared" si="66"/>
        <v>0</v>
      </c>
      <c r="I122" s="80" t="str">
        <f t="shared" si="90"/>
        <v/>
      </c>
      <c r="J122" s="144"/>
      <c r="K122" s="144"/>
      <c r="L122" s="144"/>
      <c r="M122" s="76"/>
      <c r="N122" s="77"/>
      <c r="O122" s="145"/>
      <c r="P122" s="77"/>
      <c r="Q122" s="78"/>
      <c r="R122" s="79"/>
      <c r="S122" s="146">
        <f t="shared" si="61"/>
        <v>0</v>
      </c>
      <c r="T122" s="141" t="b">
        <f t="shared" si="105"/>
        <v>0</v>
      </c>
      <c r="U122" s="649">
        <f t="shared" si="67"/>
        <v>0</v>
      </c>
      <c r="V122" s="650"/>
      <c r="W122" s="649">
        <f t="shared" si="68"/>
        <v>0</v>
      </c>
      <c r="X122" s="650"/>
      <c r="Y122" s="649">
        <f t="shared" si="69"/>
        <v>0</v>
      </c>
      <c r="Z122" s="650"/>
      <c r="AA122" s="649">
        <f t="shared" si="70"/>
        <v>0</v>
      </c>
      <c r="AB122" s="650"/>
      <c r="AC122" s="649">
        <f t="shared" si="71"/>
        <v>0</v>
      </c>
      <c r="AD122" s="650"/>
      <c r="AE122" s="649">
        <f t="shared" si="72"/>
        <v>0</v>
      </c>
      <c r="AF122" s="650"/>
      <c r="AG122" s="649">
        <f t="shared" si="73"/>
        <v>0</v>
      </c>
      <c r="AH122" s="650"/>
      <c r="AI122" s="649">
        <f t="shared" si="74"/>
        <v>0</v>
      </c>
      <c r="AJ122" s="650"/>
      <c r="AK122" s="649">
        <f t="shared" si="75"/>
        <v>0</v>
      </c>
      <c r="AL122" s="650"/>
      <c r="AM122" s="649">
        <f t="shared" si="76"/>
        <v>0</v>
      </c>
      <c r="AN122" s="650"/>
      <c r="AO122" s="649">
        <f t="shared" si="77"/>
        <v>0</v>
      </c>
      <c r="AP122" s="650"/>
      <c r="AQ122" s="649">
        <f t="shared" si="78"/>
        <v>0</v>
      </c>
      <c r="AR122" s="650"/>
      <c r="AS122" s="651">
        <f t="shared" si="79"/>
        <v>0</v>
      </c>
      <c r="AT122" s="652"/>
      <c r="AU122" s="141">
        <f t="shared" si="92"/>
        <v>0</v>
      </c>
      <c r="AV122" s="141">
        <f t="shared" si="93"/>
        <v>0</v>
      </c>
      <c r="AW122" s="141">
        <f t="shared" si="94"/>
        <v>0</v>
      </c>
      <c r="AX122" s="141">
        <f t="shared" si="95"/>
        <v>0</v>
      </c>
      <c r="AY122" s="141">
        <f t="shared" si="96"/>
        <v>0</v>
      </c>
      <c r="AZ122" s="141">
        <f t="shared" si="97"/>
        <v>0</v>
      </c>
      <c r="BA122" s="141">
        <f t="shared" si="98"/>
        <v>0</v>
      </c>
      <c r="BB122" s="141">
        <f t="shared" si="99"/>
        <v>0</v>
      </c>
      <c r="BC122" s="141">
        <f t="shared" si="100"/>
        <v>0</v>
      </c>
      <c r="BD122" s="141">
        <f t="shared" si="101"/>
        <v>0</v>
      </c>
      <c r="BE122" s="141">
        <f t="shared" si="102"/>
        <v>0</v>
      </c>
      <c r="BF122" s="141">
        <f t="shared" si="103"/>
        <v>0</v>
      </c>
      <c r="BG122" s="141">
        <f t="shared" si="80"/>
        <v>0</v>
      </c>
      <c r="BH122" s="141">
        <f t="shared" si="81"/>
        <v>0</v>
      </c>
      <c r="BI122" s="141">
        <f t="shared" si="104"/>
        <v>0</v>
      </c>
      <c r="BJ122" s="147">
        <f t="shared" si="82"/>
        <v>0</v>
      </c>
      <c r="BK122" s="141">
        <f t="shared" si="83"/>
        <v>0</v>
      </c>
      <c r="BL122" s="141">
        <f t="shared" si="84"/>
        <v>0</v>
      </c>
      <c r="BM122" s="141">
        <f t="shared" si="85"/>
        <v>0</v>
      </c>
      <c r="BN122" s="141">
        <f t="shared" si="86"/>
        <v>0</v>
      </c>
      <c r="BO122" s="141">
        <f t="shared" si="87"/>
        <v>0</v>
      </c>
      <c r="BP122" s="141">
        <f t="shared" si="88"/>
        <v>0</v>
      </c>
      <c r="BT122" s="177"/>
      <c r="BU122" s="173"/>
      <c r="BV122" s="174"/>
      <c r="BW122" s="117"/>
      <c r="BX122" s="180"/>
      <c r="BY122" s="117"/>
      <c r="BZ122" s="181"/>
      <c r="CA122" s="182"/>
      <c r="CB122" s="176"/>
      <c r="CC122" s="176"/>
      <c r="CF122" s="170"/>
      <c r="CG122" s="171"/>
      <c r="CH122" s="170"/>
      <c r="CI122" s="171"/>
    </row>
    <row r="123" spans="2:87" s="108" customFormat="1" hidden="1">
      <c r="B123" s="109"/>
      <c r="C123" s="141" t="e">
        <f t="shared" si="60"/>
        <v>#NUM!</v>
      </c>
      <c r="D123" s="141">
        <f t="shared" si="65"/>
        <v>0</v>
      </c>
      <c r="E123" s="141" t="str">
        <f>IFERROR(DGET($BV$30:$CC$82,F123,G122:G123),"")</f>
        <v/>
      </c>
      <c r="F123" s="142">
        <f t="shared" si="89"/>
        <v>0</v>
      </c>
      <c r="G123" s="142" t="b">
        <f>IF(Q123&gt;0,IF(AND(S123&gt;0,S123&lt;2),CONCATENATE(Q123," ","0-2"),IF(AND(S123&gt;=2,S123&lt;8),CONCATENATE(Q123," ","2-8"),)))</f>
        <v>0</v>
      </c>
      <c r="H123" s="80">
        <f t="shared" si="66"/>
        <v>0</v>
      </c>
      <c r="I123" s="80" t="str">
        <f t="shared" si="90"/>
        <v/>
      </c>
      <c r="J123" s="76"/>
      <c r="K123" s="76"/>
      <c r="L123" s="76"/>
      <c r="M123" s="80"/>
      <c r="N123" s="79"/>
      <c r="O123" s="148"/>
      <c r="P123" s="77"/>
      <c r="Q123" s="81"/>
      <c r="R123" s="77"/>
      <c r="S123" s="146">
        <f t="shared" si="61"/>
        <v>0</v>
      </c>
      <c r="T123" s="141" t="b">
        <f t="shared" si="105"/>
        <v>0</v>
      </c>
      <c r="U123" s="649">
        <f t="shared" si="67"/>
        <v>0</v>
      </c>
      <c r="V123" s="650"/>
      <c r="W123" s="649">
        <f t="shared" si="68"/>
        <v>0</v>
      </c>
      <c r="X123" s="650"/>
      <c r="Y123" s="649">
        <f t="shared" si="69"/>
        <v>0</v>
      </c>
      <c r="Z123" s="650"/>
      <c r="AA123" s="649">
        <f t="shared" si="70"/>
        <v>0</v>
      </c>
      <c r="AB123" s="650"/>
      <c r="AC123" s="649">
        <f t="shared" si="71"/>
        <v>0</v>
      </c>
      <c r="AD123" s="650"/>
      <c r="AE123" s="649">
        <f t="shared" si="72"/>
        <v>0</v>
      </c>
      <c r="AF123" s="650"/>
      <c r="AG123" s="649">
        <f t="shared" si="73"/>
        <v>0</v>
      </c>
      <c r="AH123" s="650"/>
      <c r="AI123" s="649">
        <f t="shared" si="74"/>
        <v>0</v>
      </c>
      <c r="AJ123" s="650"/>
      <c r="AK123" s="649">
        <f t="shared" si="75"/>
        <v>0</v>
      </c>
      <c r="AL123" s="650"/>
      <c r="AM123" s="649">
        <f t="shared" si="76"/>
        <v>0</v>
      </c>
      <c r="AN123" s="650"/>
      <c r="AO123" s="649">
        <f t="shared" si="77"/>
        <v>0</v>
      </c>
      <c r="AP123" s="650"/>
      <c r="AQ123" s="649">
        <f t="shared" si="78"/>
        <v>0</v>
      </c>
      <c r="AR123" s="650"/>
      <c r="AS123" s="651">
        <f t="shared" si="79"/>
        <v>0</v>
      </c>
      <c r="AT123" s="652"/>
      <c r="AU123" s="141">
        <f t="shared" si="92"/>
        <v>0</v>
      </c>
      <c r="AV123" s="141">
        <f t="shared" si="93"/>
        <v>0</v>
      </c>
      <c r="AW123" s="141">
        <f t="shared" si="94"/>
        <v>0</v>
      </c>
      <c r="AX123" s="141">
        <f t="shared" si="95"/>
        <v>0</v>
      </c>
      <c r="AY123" s="141">
        <f t="shared" si="96"/>
        <v>0</v>
      </c>
      <c r="AZ123" s="141">
        <f t="shared" si="97"/>
        <v>0</v>
      </c>
      <c r="BA123" s="141">
        <f t="shared" si="98"/>
        <v>0</v>
      </c>
      <c r="BB123" s="141">
        <f t="shared" si="99"/>
        <v>0</v>
      </c>
      <c r="BC123" s="141">
        <f t="shared" si="100"/>
        <v>0</v>
      </c>
      <c r="BD123" s="141">
        <f t="shared" si="101"/>
        <v>0</v>
      </c>
      <c r="BE123" s="141">
        <f t="shared" si="102"/>
        <v>0</v>
      </c>
      <c r="BF123" s="141">
        <f t="shared" si="103"/>
        <v>0</v>
      </c>
      <c r="BG123" s="141">
        <f t="shared" si="80"/>
        <v>0</v>
      </c>
      <c r="BH123" s="141">
        <f t="shared" si="81"/>
        <v>0</v>
      </c>
      <c r="BI123" s="141">
        <f t="shared" si="104"/>
        <v>0</v>
      </c>
      <c r="BJ123" s="147">
        <f t="shared" si="82"/>
        <v>0</v>
      </c>
      <c r="BK123" s="141">
        <f t="shared" si="83"/>
        <v>0</v>
      </c>
      <c r="BL123" s="141">
        <f t="shared" si="84"/>
        <v>0</v>
      </c>
      <c r="BM123" s="141">
        <f t="shared" si="85"/>
        <v>0</v>
      </c>
      <c r="BN123" s="141">
        <f t="shared" si="86"/>
        <v>0</v>
      </c>
      <c r="BO123" s="141">
        <f t="shared" si="87"/>
        <v>0</v>
      </c>
      <c r="BP123" s="141">
        <f t="shared" si="88"/>
        <v>0</v>
      </c>
      <c r="BT123" s="177"/>
      <c r="BU123" s="173"/>
      <c r="BV123" s="174"/>
      <c r="BW123" s="117"/>
      <c r="BX123" s="180"/>
      <c r="BY123" s="117"/>
      <c r="BZ123" s="181"/>
      <c r="CA123" s="182"/>
      <c r="CB123" s="176"/>
      <c r="CC123" s="176"/>
      <c r="CF123" s="170"/>
      <c r="CG123" s="171"/>
      <c r="CH123" s="170"/>
      <c r="CI123" s="171"/>
    </row>
    <row r="124" spans="2:87" s="108" customFormat="1" hidden="1">
      <c r="B124" s="109"/>
      <c r="C124" s="141" t="e">
        <f t="shared" si="60"/>
        <v>#NUM!</v>
      </c>
      <c r="D124" s="141">
        <f t="shared" si="65"/>
        <v>0</v>
      </c>
      <c r="E124" s="141"/>
      <c r="F124" s="142">
        <f t="shared" si="89"/>
        <v>0</v>
      </c>
      <c r="G124" s="143" t="s">
        <v>146</v>
      </c>
      <c r="H124" s="80">
        <f t="shared" si="66"/>
        <v>0</v>
      </c>
      <c r="I124" s="80" t="str">
        <f t="shared" si="90"/>
        <v/>
      </c>
      <c r="J124" s="144"/>
      <c r="K124" s="144"/>
      <c r="L124" s="144"/>
      <c r="M124" s="76"/>
      <c r="N124" s="77"/>
      <c r="O124" s="145"/>
      <c r="P124" s="77"/>
      <c r="Q124" s="78"/>
      <c r="R124" s="79"/>
      <c r="S124" s="146">
        <f t="shared" si="61"/>
        <v>0</v>
      </c>
      <c r="T124" s="141" t="b">
        <f t="shared" si="105"/>
        <v>0</v>
      </c>
      <c r="U124" s="649">
        <f t="shared" si="67"/>
        <v>0</v>
      </c>
      <c r="V124" s="650"/>
      <c r="W124" s="649">
        <f t="shared" si="68"/>
        <v>0</v>
      </c>
      <c r="X124" s="650"/>
      <c r="Y124" s="649">
        <f t="shared" si="69"/>
        <v>0</v>
      </c>
      <c r="Z124" s="650"/>
      <c r="AA124" s="649">
        <f t="shared" si="70"/>
        <v>0</v>
      </c>
      <c r="AB124" s="650"/>
      <c r="AC124" s="649">
        <f t="shared" si="71"/>
        <v>0</v>
      </c>
      <c r="AD124" s="650"/>
      <c r="AE124" s="649">
        <f t="shared" si="72"/>
        <v>0</v>
      </c>
      <c r="AF124" s="650"/>
      <c r="AG124" s="649">
        <f t="shared" si="73"/>
        <v>0</v>
      </c>
      <c r="AH124" s="650"/>
      <c r="AI124" s="649">
        <f t="shared" si="74"/>
        <v>0</v>
      </c>
      <c r="AJ124" s="650"/>
      <c r="AK124" s="649">
        <f t="shared" si="75"/>
        <v>0</v>
      </c>
      <c r="AL124" s="650"/>
      <c r="AM124" s="649">
        <f t="shared" si="76"/>
        <v>0</v>
      </c>
      <c r="AN124" s="650"/>
      <c r="AO124" s="649">
        <f t="shared" si="77"/>
        <v>0</v>
      </c>
      <c r="AP124" s="650"/>
      <c r="AQ124" s="649">
        <f t="shared" si="78"/>
        <v>0</v>
      </c>
      <c r="AR124" s="650"/>
      <c r="AS124" s="651">
        <f t="shared" si="79"/>
        <v>0</v>
      </c>
      <c r="AT124" s="652"/>
      <c r="AU124" s="141">
        <f t="shared" si="92"/>
        <v>0</v>
      </c>
      <c r="AV124" s="141">
        <f t="shared" si="93"/>
        <v>0</v>
      </c>
      <c r="AW124" s="141">
        <f t="shared" si="94"/>
        <v>0</v>
      </c>
      <c r="AX124" s="141">
        <f t="shared" si="95"/>
        <v>0</v>
      </c>
      <c r="AY124" s="141">
        <f t="shared" si="96"/>
        <v>0</v>
      </c>
      <c r="AZ124" s="141">
        <f t="shared" si="97"/>
        <v>0</v>
      </c>
      <c r="BA124" s="141">
        <f t="shared" si="98"/>
        <v>0</v>
      </c>
      <c r="BB124" s="141">
        <f t="shared" si="99"/>
        <v>0</v>
      </c>
      <c r="BC124" s="141">
        <f t="shared" si="100"/>
        <v>0</v>
      </c>
      <c r="BD124" s="141">
        <f t="shared" si="101"/>
        <v>0</v>
      </c>
      <c r="BE124" s="141">
        <f t="shared" si="102"/>
        <v>0</v>
      </c>
      <c r="BF124" s="141">
        <f t="shared" si="103"/>
        <v>0</v>
      </c>
      <c r="BG124" s="141">
        <f t="shared" si="80"/>
        <v>0</v>
      </c>
      <c r="BH124" s="141">
        <f t="shared" si="81"/>
        <v>0</v>
      </c>
      <c r="BI124" s="141">
        <f t="shared" si="104"/>
        <v>0</v>
      </c>
      <c r="BJ124" s="147">
        <f t="shared" si="82"/>
        <v>0</v>
      </c>
      <c r="BK124" s="141">
        <f t="shared" si="83"/>
        <v>0</v>
      </c>
      <c r="BL124" s="141">
        <f t="shared" si="84"/>
        <v>0</v>
      </c>
      <c r="BM124" s="141">
        <f t="shared" si="85"/>
        <v>0</v>
      </c>
      <c r="BN124" s="141">
        <f t="shared" si="86"/>
        <v>0</v>
      </c>
      <c r="BO124" s="141">
        <f t="shared" si="87"/>
        <v>0</v>
      </c>
      <c r="BP124" s="141">
        <f t="shared" si="88"/>
        <v>0</v>
      </c>
      <c r="BT124" s="177"/>
      <c r="BU124" s="173"/>
      <c r="BV124" s="174"/>
      <c r="BW124" s="117"/>
      <c r="BX124" s="180"/>
      <c r="BY124" s="117"/>
      <c r="BZ124" s="181"/>
      <c r="CA124" s="182"/>
      <c r="CB124" s="176"/>
      <c r="CC124" s="176"/>
      <c r="CF124" s="170"/>
      <c r="CG124" s="171"/>
      <c r="CH124" s="170"/>
      <c r="CI124" s="171"/>
    </row>
    <row r="125" spans="2:87" s="108" customFormat="1" hidden="1">
      <c r="B125" s="109"/>
      <c r="C125" s="141" t="e">
        <f t="shared" si="60"/>
        <v>#NUM!</v>
      </c>
      <c r="D125" s="141">
        <f t="shared" si="65"/>
        <v>0</v>
      </c>
      <c r="E125" s="141" t="str">
        <f>IFERROR(DGET($BV$30:$CC$82,F125,G124:G125),"")</f>
        <v/>
      </c>
      <c r="F125" s="142">
        <f t="shared" si="89"/>
        <v>0</v>
      </c>
      <c r="G125" s="142" t="b">
        <f>IF(Q125&gt;0,IF(AND(S125&gt;0,S125&lt;2),CONCATENATE(Q125," ","0-2"),IF(AND(S125&gt;=2,S125&lt;8),CONCATENATE(Q125," ","2-8"),)))</f>
        <v>0</v>
      </c>
      <c r="H125" s="80">
        <f t="shared" si="66"/>
        <v>0</v>
      </c>
      <c r="I125" s="80" t="str">
        <f t="shared" si="90"/>
        <v/>
      </c>
      <c r="J125" s="76"/>
      <c r="K125" s="76"/>
      <c r="L125" s="76"/>
      <c r="M125" s="80"/>
      <c r="N125" s="79"/>
      <c r="O125" s="148"/>
      <c r="P125" s="77"/>
      <c r="Q125" s="81"/>
      <c r="R125" s="77"/>
      <c r="S125" s="146">
        <f t="shared" si="61"/>
        <v>0</v>
      </c>
      <c r="T125" s="141" t="b">
        <f t="shared" si="105"/>
        <v>0</v>
      </c>
      <c r="U125" s="649">
        <f t="shared" si="67"/>
        <v>0</v>
      </c>
      <c r="V125" s="650"/>
      <c r="W125" s="649">
        <f t="shared" si="68"/>
        <v>0</v>
      </c>
      <c r="X125" s="650"/>
      <c r="Y125" s="649">
        <f t="shared" si="69"/>
        <v>0</v>
      </c>
      <c r="Z125" s="650"/>
      <c r="AA125" s="649">
        <f t="shared" si="70"/>
        <v>0</v>
      </c>
      <c r="AB125" s="650"/>
      <c r="AC125" s="649">
        <f t="shared" si="71"/>
        <v>0</v>
      </c>
      <c r="AD125" s="650"/>
      <c r="AE125" s="649">
        <f t="shared" si="72"/>
        <v>0</v>
      </c>
      <c r="AF125" s="650"/>
      <c r="AG125" s="649">
        <f t="shared" si="73"/>
        <v>0</v>
      </c>
      <c r="AH125" s="650"/>
      <c r="AI125" s="649">
        <f t="shared" si="74"/>
        <v>0</v>
      </c>
      <c r="AJ125" s="650"/>
      <c r="AK125" s="649">
        <f t="shared" si="75"/>
        <v>0</v>
      </c>
      <c r="AL125" s="650"/>
      <c r="AM125" s="649">
        <f t="shared" si="76"/>
        <v>0</v>
      </c>
      <c r="AN125" s="650"/>
      <c r="AO125" s="649">
        <f t="shared" si="77"/>
        <v>0</v>
      </c>
      <c r="AP125" s="650"/>
      <c r="AQ125" s="649">
        <f t="shared" si="78"/>
        <v>0</v>
      </c>
      <c r="AR125" s="650"/>
      <c r="AS125" s="651">
        <f t="shared" si="79"/>
        <v>0</v>
      </c>
      <c r="AT125" s="652"/>
      <c r="AU125" s="141">
        <f t="shared" si="92"/>
        <v>0</v>
      </c>
      <c r="AV125" s="141">
        <f t="shared" si="93"/>
        <v>0</v>
      </c>
      <c r="AW125" s="141">
        <f t="shared" si="94"/>
        <v>0</v>
      </c>
      <c r="AX125" s="141">
        <f t="shared" si="95"/>
        <v>0</v>
      </c>
      <c r="AY125" s="141">
        <f t="shared" si="96"/>
        <v>0</v>
      </c>
      <c r="AZ125" s="141">
        <f t="shared" si="97"/>
        <v>0</v>
      </c>
      <c r="BA125" s="141">
        <f t="shared" si="98"/>
        <v>0</v>
      </c>
      <c r="BB125" s="141">
        <f t="shared" si="99"/>
        <v>0</v>
      </c>
      <c r="BC125" s="141">
        <f t="shared" si="100"/>
        <v>0</v>
      </c>
      <c r="BD125" s="141">
        <f t="shared" si="101"/>
        <v>0</v>
      </c>
      <c r="BE125" s="141">
        <f t="shared" si="102"/>
        <v>0</v>
      </c>
      <c r="BF125" s="141">
        <f t="shared" si="103"/>
        <v>0</v>
      </c>
      <c r="BG125" s="141">
        <f t="shared" si="80"/>
        <v>0</v>
      </c>
      <c r="BH125" s="141">
        <f t="shared" si="81"/>
        <v>0</v>
      </c>
      <c r="BI125" s="141">
        <f t="shared" si="104"/>
        <v>0</v>
      </c>
      <c r="BJ125" s="147">
        <f t="shared" si="82"/>
        <v>0</v>
      </c>
      <c r="BK125" s="141">
        <f t="shared" si="83"/>
        <v>0</v>
      </c>
      <c r="BL125" s="141">
        <f t="shared" si="84"/>
        <v>0</v>
      </c>
      <c r="BM125" s="141">
        <f t="shared" si="85"/>
        <v>0</v>
      </c>
      <c r="BN125" s="141">
        <f t="shared" si="86"/>
        <v>0</v>
      </c>
      <c r="BO125" s="141">
        <f t="shared" si="87"/>
        <v>0</v>
      </c>
      <c r="BP125" s="141">
        <f t="shared" si="88"/>
        <v>0</v>
      </c>
      <c r="BT125" s="177"/>
      <c r="BU125" s="173"/>
      <c r="BV125" s="174"/>
      <c r="BW125" s="117"/>
      <c r="BX125" s="180"/>
      <c r="BY125" s="117"/>
      <c r="BZ125" s="181"/>
      <c r="CA125" s="182"/>
      <c r="CB125" s="176"/>
      <c r="CC125" s="176"/>
      <c r="CF125" s="170"/>
      <c r="CG125" s="171"/>
      <c r="CH125" s="170"/>
      <c r="CI125" s="171"/>
    </row>
    <row r="126" spans="2:87" s="108" customFormat="1" hidden="1">
      <c r="B126" s="109"/>
      <c r="C126" s="141" t="e">
        <f t="shared" si="60"/>
        <v>#NUM!</v>
      </c>
      <c r="D126" s="141">
        <f t="shared" si="65"/>
        <v>0</v>
      </c>
      <c r="E126" s="141"/>
      <c r="F126" s="142">
        <f t="shared" si="89"/>
        <v>0</v>
      </c>
      <c r="G126" s="143" t="s">
        <v>146</v>
      </c>
      <c r="H126" s="80">
        <f t="shared" si="66"/>
        <v>0</v>
      </c>
      <c r="I126" s="80" t="str">
        <f t="shared" si="90"/>
        <v/>
      </c>
      <c r="J126" s="144"/>
      <c r="K126" s="144"/>
      <c r="L126" s="144"/>
      <c r="M126" s="76"/>
      <c r="N126" s="77"/>
      <c r="O126" s="145"/>
      <c r="P126" s="77"/>
      <c r="Q126" s="78"/>
      <c r="R126" s="79"/>
      <c r="S126" s="146">
        <f t="shared" si="61"/>
        <v>0</v>
      </c>
      <c r="T126" s="141" t="b">
        <f t="shared" si="105"/>
        <v>0</v>
      </c>
      <c r="U126" s="649">
        <f t="shared" si="67"/>
        <v>0</v>
      </c>
      <c r="V126" s="650"/>
      <c r="W126" s="649">
        <f t="shared" si="68"/>
        <v>0</v>
      </c>
      <c r="X126" s="650"/>
      <c r="Y126" s="649">
        <f t="shared" si="69"/>
        <v>0</v>
      </c>
      <c r="Z126" s="650"/>
      <c r="AA126" s="649">
        <f t="shared" si="70"/>
        <v>0</v>
      </c>
      <c r="AB126" s="650"/>
      <c r="AC126" s="649">
        <f t="shared" si="71"/>
        <v>0</v>
      </c>
      <c r="AD126" s="650"/>
      <c r="AE126" s="649">
        <f t="shared" si="72"/>
        <v>0</v>
      </c>
      <c r="AF126" s="650"/>
      <c r="AG126" s="649">
        <f t="shared" si="73"/>
        <v>0</v>
      </c>
      <c r="AH126" s="650"/>
      <c r="AI126" s="649">
        <f t="shared" si="74"/>
        <v>0</v>
      </c>
      <c r="AJ126" s="650"/>
      <c r="AK126" s="649">
        <f t="shared" si="75"/>
        <v>0</v>
      </c>
      <c r="AL126" s="650"/>
      <c r="AM126" s="649">
        <f t="shared" si="76"/>
        <v>0</v>
      </c>
      <c r="AN126" s="650"/>
      <c r="AO126" s="649">
        <f t="shared" si="77"/>
        <v>0</v>
      </c>
      <c r="AP126" s="650"/>
      <c r="AQ126" s="649">
        <f t="shared" si="78"/>
        <v>0</v>
      </c>
      <c r="AR126" s="650"/>
      <c r="AS126" s="651">
        <f t="shared" si="79"/>
        <v>0</v>
      </c>
      <c r="AT126" s="652"/>
      <c r="AU126" s="141">
        <f t="shared" si="92"/>
        <v>0</v>
      </c>
      <c r="AV126" s="141">
        <f t="shared" si="93"/>
        <v>0</v>
      </c>
      <c r="AW126" s="141">
        <f t="shared" si="94"/>
        <v>0</v>
      </c>
      <c r="AX126" s="141">
        <f t="shared" si="95"/>
        <v>0</v>
      </c>
      <c r="AY126" s="141">
        <f t="shared" si="96"/>
        <v>0</v>
      </c>
      <c r="AZ126" s="141">
        <f t="shared" si="97"/>
        <v>0</v>
      </c>
      <c r="BA126" s="141">
        <f t="shared" si="98"/>
        <v>0</v>
      </c>
      <c r="BB126" s="141">
        <f t="shared" si="99"/>
        <v>0</v>
      </c>
      <c r="BC126" s="141">
        <f t="shared" si="100"/>
        <v>0</v>
      </c>
      <c r="BD126" s="141">
        <f t="shared" si="101"/>
        <v>0</v>
      </c>
      <c r="BE126" s="141">
        <f t="shared" si="102"/>
        <v>0</v>
      </c>
      <c r="BF126" s="141">
        <f t="shared" si="103"/>
        <v>0</v>
      </c>
      <c r="BG126" s="141">
        <f t="shared" si="80"/>
        <v>0</v>
      </c>
      <c r="BH126" s="141">
        <f t="shared" si="81"/>
        <v>0</v>
      </c>
      <c r="BI126" s="141">
        <f t="shared" si="104"/>
        <v>0</v>
      </c>
      <c r="BJ126" s="147">
        <f t="shared" si="82"/>
        <v>0</v>
      </c>
      <c r="BK126" s="141">
        <f t="shared" si="83"/>
        <v>0</v>
      </c>
      <c r="BL126" s="141">
        <f t="shared" si="84"/>
        <v>0</v>
      </c>
      <c r="BM126" s="141">
        <f t="shared" si="85"/>
        <v>0</v>
      </c>
      <c r="BN126" s="141">
        <f t="shared" si="86"/>
        <v>0</v>
      </c>
      <c r="BO126" s="141">
        <f t="shared" si="87"/>
        <v>0</v>
      </c>
      <c r="BP126" s="141">
        <f t="shared" si="88"/>
        <v>0</v>
      </c>
      <c r="BT126" s="177"/>
      <c r="BU126" s="173"/>
      <c r="BV126" s="174"/>
      <c r="BW126" s="117"/>
      <c r="BX126" s="180"/>
      <c r="BY126" s="117"/>
      <c r="BZ126" s="181"/>
      <c r="CA126" s="182"/>
      <c r="CB126" s="176"/>
      <c r="CC126" s="176"/>
      <c r="CF126" s="170"/>
      <c r="CG126" s="171"/>
      <c r="CH126" s="170"/>
      <c r="CI126" s="171"/>
    </row>
    <row r="127" spans="2:87" s="108" customFormat="1" hidden="1">
      <c r="B127" s="109"/>
      <c r="C127" s="141" t="e">
        <f t="shared" si="60"/>
        <v>#NUM!</v>
      </c>
      <c r="D127" s="141">
        <f t="shared" si="65"/>
        <v>0</v>
      </c>
      <c r="E127" s="141" t="str">
        <f>IFERROR(DGET($BV$30:$CC$82,F127,G126:G127),"")</f>
        <v/>
      </c>
      <c r="F127" s="142">
        <f t="shared" si="89"/>
        <v>0</v>
      </c>
      <c r="G127" s="142" t="b">
        <f>IF(Q127&gt;0,IF(AND(S127&gt;0,S127&lt;2),CONCATENATE(Q127," ","0-2"),IF(AND(S127&gt;=2,S127&lt;8),CONCATENATE(Q127," ","2-8"),)))</f>
        <v>0</v>
      </c>
      <c r="H127" s="80">
        <f t="shared" si="66"/>
        <v>0</v>
      </c>
      <c r="I127" s="80" t="str">
        <f t="shared" si="90"/>
        <v/>
      </c>
      <c r="J127" s="76"/>
      <c r="K127" s="76"/>
      <c r="L127" s="76"/>
      <c r="M127" s="80"/>
      <c r="N127" s="79"/>
      <c r="O127" s="148"/>
      <c r="P127" s="77"/>
      <c r="Q127" s="81"/>
      <c r="R127" s="77"/>
      <c r="S127" s="146">
        <f t="shared" si="61"/>
        <v>0</v>
      </c>
      <c r="T127" s="141" t="b">
        <f t="shared" si="105"/>
        <v>0</v>
      </c>
      <c r="U127" s="649">
        <f t="shared" si="67"/>
        <v>0</v>
      </c>
      <c r="V127" s="650"/>
      <c r="W127" s="649">
        <f t="shared" si="68"/>
        <v>0</v>
      </c>
      <c r="X127" s="650"/>
      <c r="Y127" s="649">
        <f t="shared" si="69"/>
        <v>0</v>
      </c>
      <c r="Z127" s="650"/>
      <c r="AA127" s="649">
        <f t="shared" si="70"/>
        <v>0</v>
      </c>
      <c r="AB127" s="650"/>
      <c r="AC127" s="649">
        <f t="shared" si="71"/>
        <v>0</v>
      </c>
      <c r="AD127" s="650"/>
      <c r="AE127" s="649">
        <f t="shared" si="72"/>
        <v>0</v>
      </c>
      <c r="AF127" s="650"/>
      <c r="AG127" s="649">
        <f t="shared" si="73"/>
        <v>0</v>
      </c>
      <c r="AH127" s="650"/>
      <c r="AI127" s="649">
        <f t="shared" si="74"/>
        <v>0</v>
      </c>
      <c r="AJ127" s="650"/>
      <c r="AK127" s="649">
        <f t="shared" si="75"/>
        <v>0</v>
      </c>
      <c r="AL127" s="650"/>
      <c r="AM127" s="649">
        <f t="shared" si="76"/>
        <v>0</v>
      </c>
      <c r="AN127" s="650"/>
      <c r="AO127" s="649">
        <f t="shared" si="77"/>
        <v>0</v>
      </c>
      <c r="AP127" s="650"/>
      <c r="AQ127" s="649">
        <f t="shared" si="78"/>
        <v>0</v>
      </c>
      <c r="AR127" s="650"/>
      <c r="AS127" s="651">
        <f t="shared" si="79"/>
        <v>0</v>
      </c>
      <c r="AT127" s="652"/>
      <c r="AU127" s="141">
        <f t="shared" si="92"/>
        <v>0</v>
      </c>
      <c r="AV127" s="141">
        <f t="shared" si="93"/>
        <v>0</v>
      </c>
      <c r="AW127" s="141">
        <f t="shared" si="94"/>
        <v>0</v>
      </c>
      <c r="AX127" s="141">
        <f t="shared" si="95"/>
        <v>0</v>
      </c>
      <c r="AY127" s="141">
        <f t="shared" si="96"/>
        <v>0</v>
      </c>
      <c r="AZ127" s="141">
        <f t="shared" si="97"/>
        <v>0</v>
      </c>
      <c r="BA127" s="141">
        <f t="shared" si="98"/>
        <v>0</v>
      </c>
      <c r="BB127" s="141">
        <f t="shared" si="99"/>
        <v>0</v>
      </c>
      <c r="BC127" s="141">
        <f t="shared" si="100"/>
        <v>0</v>
      </c>
      <c r="BD127" s="141">
        <f t="shared" si="101"/>
        <v>0</v>
      </c>
      <c r="BE127" s="141">
        <f t="shared" si="102"/>
        <v>0</v>
      </c>
      <c r="BF127" s="141">
        <f t="shared" si="103"/>
        <v>0</v>
      </c>
      <c r="BG127" s="141">
        <f t="shared" si="80"/>
        <v>0</v>
      </c>
      <c r="BH127" s="141">
        <f t="shared" si="81"/>
        <v>0</v>
      </c>
      <c r="BI127" s="141">
        <f t="shared" si="104"/>
        <v>0</v>
      </c>
      <c r="BJ127" s="147">
        <f t="shared" si="82"/>
        <v>0</v>
      </c>
      <c r="BK127" s="141">
        <f t="shared" si="83"/>
        <v>0</v>
      </c>
      <c r="BL127" s="141">
        <f t="shared" si="84"/>
        <v>0</v>
      </c>
      <c r="BM127" s="141">
        <f t="shared" si="85"/>
        <v>0</v>
      </c>
      <c r="BN127" s="141">
        <f t="shared" si="86"/>
        <v>0</v>
      </c>
      <c r="BO127" s="141">
        <f t="shared" si="87"/>
        <v>0</v>
      </c>
      <c r="BP127" s="141">
        <f t="shared" si="88"/>
        <v>0</v>
      </c>
      <c r="BT127" s="177"/>
      <c r="BU127" s="173"/>
      <c r="BV127" s="174"/>
      <c r="BW127" s="117"/>
      <c r="BX127" s="180"/>
      <c r="BY127" s="117"/>
      <c r="BZ127" s="181"/>
      <c r="CA127" s="182"/>
      <c r="CB127" s="176"/>
      <c r="CC127" s="176"/>
      <c r="CF127" s="170"/>
      <c r="CG127" s="171"/>
      <c r="CH127" s="170"/>
      <c r="CI127" s="171"/>
    </row>
    <row r="128" spans="2:87" s="108" customFormat="1" hidden="1">
      <c r="B128" s="109"/>
      <c r="C128" s="141" t="e">
        <f t="shared" si="60"/>
        <v>#NUM!</v>
      </c>
      <c r="D128" s="141">
        <f t="shared" si="65"/>
        <v>0</v>
      </c>
      <c r="E128" s="141"/>
      <c r="F128" s="142">
        <f t="shared" si="89"/>
        <v>0</v>
      </c>
      <c r="G128" s="143" t="s">
        <v>146</v>
      </c>
      <c r="H128" s="80">
        <f t="shared" si="66"/>
        <v>0</v>
      </c>
      <c r="I128" s="80" t="str">
        <f t="shared" si="90"/>
        <v/>
      </c>
      <c r="J128" s="144"/>
      <c r="K128" s="144"/>
      <c r="L128" s="144"/>
      <c r="M128" s="76"/>
      <c r="N128" s="77"/>
      <c r="O128" s="145"/>
      <c r="P128" s="77"/>
      <c r="Q128" s="78"/>
      <c r="R128" s="79"/>
      <c r="S128" s="146">
        <f t="shared" si="61"/>
        <v>0</v>
      </c>
      <c r="T128" s="141" t="b">
        <f t="shared" si="105"/>
        <v>0</v>
      </c>
      <c r="U128" s="649">
        <f t="shared" si="67"/>
        <v>0</v>
      </c>
      <c r="V128" s="650"/>
      <c r="W128" s="649">
        <f t="shared" si="68"/>
        <v>0</v>
      </c>
      <c r="X128" s="650"/>
      <c r="Y128" s="649">
        <f t="shared" si="69"/>
        <v>0</v>
      </c>
      <c r="Z128" s="650"/>
      <c r="AA128" s="649">
        <f t="shared" si="70"/>
        <v>0</v>
      </c>
      <c r="AB128" s="650"/>
      <c r="AC128" s="649">
        <f t="shared" si="71"/>
        <v>0</v>
      </c>
      <c r="AD128" s="650"/>
      <c r="AE128" s="649">
        <f t="shared" si="72"/>
        <v>0</v>
      </c>
      <c r="AF128" s="650"/>
      <c r="AG128" s="649">
        <f t="shared" si="73"/>
        <v>0</v>
      </c>
      <c r="AH128" s="650"/>
      <c r="AI128" s="649">
        <f t="shared" si="74"/>
        <v>0</v>
      </c>
      <c r="AJ128" s="650"/>
      <c r="AK128" s="649">
        <f t="shared" si="75"/>
        <v>0</v>
      </c>
      <c r="AL128" s="650"/>
      <c r="AM128" s="649">
        <f t="shared" si="76"/>
        <v>0</v>
      </c>
      <c r="AN128" s="650"/>
      <c r="AO128" s="649">
        <f t="shared" si="77"/>
        <v>0</v>
      </c>
      <c r="AP128" s="650"/>
      <c r="AQ128" s="649">
        <f t="shared" si="78"/>
        <v>0</v>
      </c>
      <c r="AR128" s="650"/>
      <c r="AS128" s="651">
        <f t="shared" si="79"/>
        <v>0</v>
      </c>
      <c r="AT128" s="652"/>
      <c r="AU128" s="141">
        <f t="shared" si="92"/>
        <v>0</v>
      </c>
      <c r="AV128" s="141">
        <f t="shared" si="93"/>
        <v>0</v>
      </c>
      <c r="AW128" s="141">
        <f t="shared" si="94"/>
        <v>0</v>
      </c>
      <c r="AX128" s="141">
        <f t="shared" si="95"/>
        <v>0</v>
      </c>
      <c r="AY128" s="141">
        <f t="shared" si="96"/>
        <v>0</v>
      </c>
      <c r="AZ128" s="141">
        <f t="shared" si="97"/>
        <v>0</v>
      </c>
      <c r="BA128" s="141">
        <f t="shared" si="98"/>
        <v>0</v>
      </c>
      <c r="BB128" s="141">
        <f t="shared" si="99"/>
        <v>0</v>
      </c>
      <c r="BC128" s="141">
        <f t="shared" si="100"/>
        <v>0</v>
      </c>
      <c r="BD128" s="141">
        <f t="shared" si="101"/>
        <v>0</v>
      </c>
      <c r="BE128" s="141">
        <f t="shared" si="102"/>
        <v>0</v>
      </c>
      <c r="BF128" s="141">
        <f t="shared" si="103"/>
        <v>0</v>
      </c>
      <c r="BG128" s="141">
        <f t="shared" si="80"/>
        <v>0</v>
      </c>
      <c r="BH128" s="141">
        <f t="shared" si="81"/>
        <v>0</v>
      </c>
      <c r="BI128" s="141">
        <f t="shared" si="104"/>
        <v>0</v>
      </c>
      <c r="BJ128" s="147">
        <f t="shared" si="82"/>
        <v>0</v>
      </c>
      <c r="BK128" s="141">
        <f t="shared" si="83"/>
        <v>0</v>
      </c>
      <c r="BL128" s="141">
        <f t="shared" si="84"/>
        <v>0</v>
      </c>
      <c r="BM128" s="141">
        <f t="shared" si="85"/>
        <v>0</v>
      </c>
      <c r="BN128" s="141">
        <f t="shared" si="86"/>
        <v>0</v>
      </c>
      <c r="BO128" s="141">
        <f t="shared" si="87"/>
        <v>0</v>
      </c>
      <c r="BP128" s="141">
        <f t="shared" si="88"/>
        <v>0</v>
      </c>
      <c r="BT128" s="177"/>
      <c r="BU128" s="173"/>
      <c r="BV128" s="174"/>
      <c r="BW128" s="117"/>
      <c r="BX128" s="180"/>
      <c r="BY128" s="117"/>
      <c r="BZ128" s="181"/>
      <c r="CA128" s="182"/>
      <c r="CB128" s="176"/>
      <c r="CC128" s="176"/>
      <c r="CF128" s="170"/>
      <c r="CG128" s="171"/>
      <c r="CH128" s="170"/>
      <c r="CI128" s="171"/>
    </row>
    <row r="129" spans="2:87" s="108" customFormat="1" hidden="1">
      <c r="B129" s="109"/>
      <c r="C129" s="141" t="e">
        <f t="shared" si="60"/>
        <v>#NUM!</v>
      </c>
      <c r="D129" s="141">
        <f t="shared" si="65"/>
        <v>0</v>
      </c>
      <c r="E129" s="141" t="str">
        <f>IFERROR(DGET($BV$30:$CC$82,F129,G128:G129),"")</f>
        <v/>
      </c>
      <c r="F129" s="142">
        <f t="shared" si="89"/>
        <v>0</v>
      </c>
      <c r="G129" s="142" t="b">
        <f>IF(Q129&gt;0,IF(AND(S129&gt;0,S129&lt;2),CONCATENATE(Q129," ","0-2"),IF(AND(S129&gt;=2,S129&lt;8),CONCATENATE(Q129," ","2-8"),)))</f>
        <v>0</v>
      </c>
      <c r="H129" s="80">
        <f t="shared" si="66"/>
        <v>0</v>
      </c>
      <c r="I129" s="80" t="str">
        <f t="shared" si="90"/>
        <v/>
      </c>
      <c r="J129" s="76"/>
      <c r="K129" s="76"/>
      <c r="L129" s="76"/>
      <c r="M129" s="80"/>
      <c r="N129" s="79"/>
      <c r="O129" s="148"/>
      <c r="P129" s="77"/>
      <c r="Q129" s="81"/>
      <c r="R129" s="77"/>
      <c r="S129" s="146">
        <f t="shared" si="61"/>
        <v>0</v>
      </c>
      <c r="T129" s="141" t="b">
        <f t="shared" si="105"/>
        <v>0</v>
      </c>
      <c r="U129" s="649">
        <f t="shared" si="67"/>
        <v>0</v>
      </c>
      <c r="V129" s="650"/>
      <c r="W129" s="649">
        <f t="shared" si="68"/>
        <v>0</v>
      </c>
      <c r="X129" s="650"/>
      <c r="Y129" s="649">
        <f t="shared" si="69"/>
        <v>0</v>
      </c>
      <c r="Z129" s="650"/>
      <c r="AA129" s="649">
        <f t="shared" si="70"/>
        <v>0</v>
      </c>
      <c r="AB129" s="650"/>
      <c r="AC129" s="649">
        <f t="shared" si="71"/>
        <v>0</v>
      </c>
      <c r="AD129" s="650"/>
      <c r="AE129" s="649">
        <f t="shared" si="72"/>
        <v>0</v>
      </c>
      <c r="AF129" s="650"/>
      <c r="AG129" s="649">
        <f t="shared" si="73"/>
        <v>0</v>
      </c>
      <c r="AH129" s="650"/>
      <c r="AI129" s="649">
        <f t="shared" si="74"/>
        <v>0</v>
      </c>
      <c r="AJ129" s="650"/>
      <c r="AK129" s="649">
        <f t="shared" si="75"/>
        <v>0</v>
      </c>
      <c r="AL129" s="650"/>
      <c r="AM129" s="649">
        <f t="shared" si="76"/>
        <v>0</v>
      </c>
      <c r="AN129" s="650"/>
      <c r="AO129" s="649">
        <f t="shared" si="77"/>
        <v>0</v>
      </c>
      <c r="AP129" s="650"/>
      <c r="AQ129" s="649">
        <f t="shared" si="78"/>
        <v>0</v>
      </c>
      <c r="AR129" s="650"/>
      <c r="AS129" s="651">
        <f t="shared" si="79"/>
        <v>0</v>
      </c>
      <c r="AT129" s="652"/>
      <c r="AU129" s="141">
        <f t="shared" si="92"/>
        <v>0</v>
      </c>
      <c r="AV129" s="141">
        <f t="shared" si="93"/>
        <v>0</v>
      </c>
      <c r="AW129" s="141">
        <f t="shared" si="94"/>
        <v>0</v>
      </c>
      <c r="AX129" s="141">
        <f t="shared" si="95"/>
        <v>0</v>
      </c>
      <c r="AY129" s="141">
        <f t="shared" si="96"/>
        <v>0</v>
      </c>
      <c r="AZ129" s="141">
        <f t="shared" si="97"/>
        <v>0</v>
      </c>
      <c r="BA129" s="141">
        <f t="shared" si="98"/>
        <v>0</v>
      </c>
      <c r="BB129" s="141">
        <f t="shared" si="99"/>
        <v>0</v>
      </c>
      <c r="BC129" s="141">
        <f t="shared" si="100"/>
        <v>0</v>
      </c>
      <c r="BD129" s="141">
        <f t="shared" si="101"/>
        <v>0</v>
      </c>
      <c r="BE129" s="141">
        <f t="shared" si="102"/>
        <v>0</v>
      </c>
      <c r="BF129" s="141">
        <f t="shared" si="103"/>
        <v>0</v>
      </c>
      <c r="BG129" s="141">
        <f t="shared" si="80"/>
        <v>0</v>
      </c>
      <c r="BH129" s="141">
        <f t="shared" si="81"/>
        <v>0</v>
      </c>
      <c r="BI129" s="141">
        <f t="shared" si="104"/>
        <v>0</v>
      </c>
      <c r="BJ129" s="147">
        <f t="shared" si="82"/>
        <v>0</v>
      </c>
      <c r="BK129" s="141">
        <f t="shared" si="83"/>
        <v>0</v>
      </c>
      <c r="BL129" s="141">
        <f t="shared" si="84"/>
        <v>0</v>
      </c>
      <c r="BM129" s="141">
        <f t="shared" si="85"/>
        <v>0</v>
      </c>
      <c r="BN129" s="141">
        <f t="shared" si="86"/>
        <v>0</v>
      </c>
      <c r="BO129" s="141">
        <f t="shared" si="87"/>
        <v>0</v>
      </c>
      <c r="BP129" s="141">
        <f t="shared" si="88"/>
        <v>0</v>
      </c>
      <c r="BT129" s="177"/>
      <c r="BU129" s="173"/>
      <c r="BV129" s="174"/>
      <c r="BW129" s="117"/>
      <c r="BX129" s="180"/>
      <c r="BY129" s="117"/>
      <c r="BZ129" s="181"/>
      <c r="CA129" s="182"/>
      <c r="CB129" s="176"/>
      <c r="CC129" s="176"/>
      <c r="CF129" s="170"/>
      <c r="CG129" s="171"/>
      <c r="CH129" s="170"/>
      <c r="CI129" s="171"/>
    </row>
    <row r="130" spans="2:87" s="108" customFormat="1" hidden="1">
      <c r="B130" s="109"/>
      <c r="C130" s="141" t="e">
        <f t="shared" si="60"/>
        <v>#NUM!</v>
      </c>
      <c r="D130" s="141">
        <f t="shared" si="65"/>
        <v>0</v>
      </c>
      <c r="E130" s="141"/>
      <c r="F130" s="142">
        <f t="shared" si="89"/>
        <v>0</v>
      </c>
      <c r="G130" s="143" t="s">
        <v>146</v>
      </c>
      <c r="H130" s="80">
        <f t="shared" si="66"/>
        <v>0</v>
      </c>
      <c r="I130" s="80" t="str">
        <f t="shared" si="90"/>
        <v/>
      </c>
      <c r="J130" s="144"/>
      <c r="K130" s="144"/>
      <c r="L130" s="144"/>
      <c r="M130" s="76"/>
      <c r="N130" s="77"/>
      <c r="O130" s="145"/>
      <c r="P130" s="77"/>
      <c r="Q130" s="78"/>
      <c r="R130" s="79"/>
      <c r="S130" s="146">
        <f t="shared" si="61"/>
        <v>0</v>
      </c>
      <c r="T130" s="141" t="b">
        <f t="shared" si="105"/>
        <v>0</v>
      </c>
      <c r="U130" s="649">
        <f t="shared" si="67"/>
        <v>0</v>
      </c>
      <c r="V130" s="650"/>
      <c r="W130" s="649">
        <f t="shared" si="68"/>
        <v>0</v>
      </c>
      <c r="X130" s="650"/>
      <c r="Y130" s="649">
        <f t="shared" si="69"/>
        <v>0</v>
      </c>
      <c r="Z130" s="650"/>
      <c r="AA130" s="649">
        <f t="shared" si="70"/>
        <v>0</v>
      </c>
      <c r="AB130" s="650"/>
      <c r="AC130" s="649">
        <f t="shared" si="71"/>
        <v>0</v>
      </c>
      <c r="AD130" s="650"/>
      <c r="AE130" s="649">
        <f t="shared" si="72"/>
        <v>0</v>
      </c>
      <c r="AF130" s="650"/>
      <c r="AG130" s="649">
        <f t="shared" si="73"/>
        <v>0</v>
      </c>
      <c r="AH130" s="650"/>
      <c r="AI130" s="649">
        <f t="shared" si="74"/>
        <v>0</v>
      </c>
      <c r="AJ130" s="650"/>
      <c r="AK130" s="649">
        <f t="shared" si="75"/>
        <v>0</v>
      </c>
      <c r="AL130" s="650"/>
      <c r="AM130" s="649">
        <f t="shared" si="76"/>
        <v>0</v>
      </c>
      <c r="AN130" s="650"/>
      <c r="AO130" s="649">
        <f t="shared" si="77"/>
        <v>0</v>
      </c>
      <c r="AP130" s="650"/>
      <c r="AQ130" s="649">
        <f t="shared" si="78"/>
        <v>0</v>
      </c>
      <c r="AR130" s="650"/>
      <c r="AS130" s="651">
        <f t="shared" si="79"/>
        <v>0</v>
      </c>
      <c r="AT130" s="652"/>
      <c r="AU130" s="141">
        <f t="shared" si="92"/>
        <v>0</v>
      </c>
      <c r="AV130" s="141">
        <f t="shared" si="93"/>
        <v>0</v>
      </c>
      <c r="AW130" s="141">
        <f t="shared" si="94"/>
        <v>0</v>
      </c>
      <c r="AX130" s="141">
        <f t="shared" si="95"/>
        <v>0</v>
      </c>
      <c r="AY130" s="141">
        <f t="shared" si="96"/>
        <v>0</v>
      </c>
      <c r="AZ130" s="141">
        <f t="shared" si="97"/>
        <v>0</v>
      </c>
      <c r="BA130" s="141">
        <f t="shared" si="98"/>
        <v>0</v>
      </c>
      <c r="BB130" s="141">
        <f t="shared" si="99"/>
        <v>0</v>
      </c>
      <c r="BC130" s="141">
        <f t="shared" si="100"/>
        <v>0</v>
      </c>
      <c r="BD130" s="141">
        <f t="shared" si="101"/>
        <v>0</v>
      </c>
      <c r="BE130" s="141">
        <f t="shared" si="102"/>
        <v>0</v>
      </c>
      <c r="BF130" s="141">
        <f t="shared" si="103"/>
        <v>0</v>
      </c>
      <c r="BG130" s="141">
        <f t="shared" si="80"/>
        <v>0</v>
      </c>
      <c r="BH130" s="141">
        <f t="shared" si="81"/>
        <v>0</v>
      </c>
      <c r="BI130" s="141">
        <f t="shared" si="104"/>
        <v>0</v>
      </c>
      <c r="BJ130" s="147">
        <f t="shared" si="82"/>
        <v>0</v>
      </c>
      <c r="BK130" s="141">
        <f t="shared" si="83"/>
        <v>0</v>
      </c>
      <c r="BL130" s="141">
        <f t="shared" si="84"/>
        <v>0</v>
      </c>
      <c r="BM130" s="141">
        <f t="shared" si="85"/>
        <v>0</v>
      </c>
      <c r="BN130" s="141">
        <f t="shared" si="86"/>
        <v>0</v>
      </c>
      <c r="BO130" s="141">
        <f t="shared" si="87"/>
        <v>0</v>
      </c>
      <c r="BP130" s="141">
        <f t="shared" si="88"/>
        <v>0</v>
      </c>
      <c r="BT130" s="177"/>
      <c r="BU130" s="173"/>
      <c r="BV130" s="174"/>
      <c r="BW130" s="117"/>
      <c r="BX130" s="180"/>
      <c r="BY130" s="117"/>
      <c r="BZ130" s="181"/>
      <c r="CA130" s="182"/>
      <c r="CB130" s="176"/>
      <c r="CC130" s="176"/>
      <c r="CF130" s="170"/>
      <c r="CG130" s="171"/>
      <c r="CH130" s="170"/>
      <c r="CI130" s="171"/>
    </row>
    <row r="131" spans="2:87" s="108" customFormat="1" hidden="1">
      <c r="B131" s="109"/>
      <c r="C131" s="141" t="e">
        <f t="shared" ref="C131:C194" si="109">IF(AND(LARGE(Q130:Q132,1)&gt;=$A$11,LARGE(Q130:Q132,1)&lt;=$B$11),500,IF(AND(LARGE(Q130:Q132,1)&gt;=$A$12,LARGE(Q130:Q132,1)&lt;=$B$12),500,IF(AND(LARGE(Q130:Q132,1)&gt;=$A$13,LARGE(Q130:Q132,1)&lt;=$B$13),600,IF(AND(LARGE(Q130:Q132,1)&gt;=$A$14,LARGE(Q130:Q132,1)&lt;=$B$14),700,IF(AND(LARGE(Q130:Q132,1)&gt;=$A$15,LARGE(Q130:Q132,1)&lt;=$B$15),800,IF(AND(LARGE(Q130:Q132,1)&gt;=$A$16,LARGE(Q130:Q132,1)&lt;=$B$16),900,IF(AND(LARGE(Q130:Q132,1)&gt;=$A$17,LARGE(Q130:Q132,1)&lt;=$B$17),1000,IF(AND(LARGE(Q130:Q132,1)&gt;=$A$18,LARGE(Q130:Q132,1)&lt;=$B$18),1100,IF(AND(LARGE(Q130:Q132,1)&gt;=$A$19,LARGE(Q130:Q132,1)&lt;=$B$19),1200)))))))))</f>
        <v>#NUM!</v>
      </c>
      <c r="D131" s="141">
        <f t="shared" si="65"/>
        <v>0</v>
      </c>
      <c r="E131" s="141" t="str">
        <f>IFERROR(DGET($BV$30:$CC$82,F131,G130:G131),"")</f>
        <v/>
      </c>
      <c r="F131" s="142">
        <f t="shared" si="89"/>
        <v>0</v>
      </c>
      <c r="G131" s="142" t="b">
        <f>IF(Q131&gt;0,IF(AND(S131&gt;0,S131&lt;2),CONCATENATE(Q131," ","0-2"),IF(AND(S131&gt;=2,S131&lt;8),CONCATENATE(Q131," ","2-8"),)))</f>
        <v>0</v>
      </c>
      <c r="H131" s="80">
        <f t="shared" si="66"/>
        <v>0</v>
      </c>
      <c r="I131" s="80" t="str">
        <f t="shared" si="90"/>
        <v/>
      </c>
      <c r="J131" s="76"/>
      <c r="K131" s="76"/>
      <c r="L131" s="76"/>
      <c r="M131" s="80"/>
      <c r="N131" s="79"/>
      <c r="O131" s="148"/>
      <c r="P131" s="77"/>
      <c r="Q131" s="81"/>
      <c r="R131" s="77"/>
      <c r="S131" s="146">
        <f t="shared" ref="S131:S194" si="110">IF(AND(L131="água"),((R130+R132)/2)+((H131/1000))+BJ131+VLOOKUP(Q131,$CH$31:$CI$52,2,0)+VLOOKUP(Q131,$CF$31:$CG$52,2,0),IF(Q131&gt;0,((R130+R132)/2)+((H131/1000))+BJ131,0))</f>
        <v>0</v>
      </c>
      <c r="T131" s="141" t="b">
        <f t="shared" si="105"/>
        <v>0</v>
      </c>
      <c r="U131" s="649">
        <f t="shared" si="67"/>
        <v>0</v>
      </c>
      <c r="V131" s="650"/>
      <c r="W131" s="649">
        <f t="shared" si="68"/>
        <v>0</v>
      </c>
      <c r="X131" s="650"/>
      <c r="Y131" s="649">
        <f t="shared" si="69"/>
        <v>0</v>
      </c>
      <c r="Z131" s="650"/>
      <c r="AA131" s="649">
        <f t="shared" si="70"/>
        <v>0</v>
      </c>
      <c r="AB131" s="650"/>
      <c r="AC131" s="649">
        <f t="shared" si="71"/>
        <v>0</v>
      </c>
      <c r="AD131" s="650"/>
      <c r="AE131" s="649">
        <f t="shared" si="72"/>
        <v>0</v>
      </c>
      <c r="AF131" s="650"/>
      <c r="AG131" s="649">
        <f t="shared" si="73"/>
        <v>0</v>
      </c>
      <c r="AH131" s="650"/>
      <c r="AI131" s="649">
        <f t="shared" si="74"/>
        <v>0</v>
      </c>
      <c r="AJ131" s="650"/>
      <c r="AK131" s="649">
        <f t="shared" si="75"/>
        <v>0</v>
      </c>
      <c r="AL131" s="650"/>
      <c r="AM131" s="649">
        <f t="shared" si="76"/>
        <v>0</v>
      </c>
      <c r="AN131" s="650"/>
      <c r="AO131" s="649">
        <f t="shared" si="77"/>
        <v>0</v>
      </c>
      <c r="AP131" s="650"/>
      <c r="AQ131" s="649">
        <f t="shared" si="78"/>
        <v>0</v>
      </c>
      <c r="AR131" s="650"/>
      <c r="AS131" s="651">
        <f t="shared" si="79"/>
        <v>0</v>
      </c>
      <c r="AT131" s="652"/>
      <c r="AU131" s="141">
        <f t="shared" si="92"/>
        <v>0</v>
      </c>
      <c r="AV131" s="141">
        <f t="shared" si="93"/>
        <v>0</v>
      </c>
      <c r="AW131" s="141">
        <f t="shared" si="94"/>
        <v>0</v>
      </c>
      <c r="AX131" s="141">
        <f t="shared" si="95"/>
        <v>0</v>
      </c>
      <c r="AY131" s="141">
        <f t="shared" si="96"/>
        <v>0</v>
      </c>
      <c r="AZ131" s="141">
        <f t="shared" si="97"/>
        <v>0</v>
      </c>
      <c r="BA131" s="141">
        <f t="shared" si="98"/>
        <v>0</v>
      </c>
      <c r="BB131" s="141">
        <f t="shared" si="99"/>
        <v>0</v>
      </c>
      <c r="BC131" s="141">
        <f t="shared" si="100"/>
        <v>0</v>
      </c>
      <c r="BD131" s="141">
        <f t="shared" si="101"/>
        <v>0</v>
      </c>
      <c r="BE131" s="141">
        <f t="shared" si="102"/>
        <v>0</v>
      </c>
      <c r="BF131" s="141">
        <f t="shared" si="103"/>
        <v>0</v>
      </c>
      <c r="BG131" s="141">
        <f t="shared" si="80"/>
        <v>0</v>
      </c>
      <c r="BH131" s="141">
        <f t="shared" si="81"/>
        <v>0</v>
      </c>
      <c r="BI131" s="141">
        <f t="shared" si="104"/>
        <v>0</v>
      </c>
      <c r="BJ131" s="147">
        <f t="shared" si="82"/>
        <v>0</v>
      </c>
      <c r="BK131" s="141">
        <f t="shared" si="83"/>
        <v>0</v>
      </c>
      <c r="BL131" s="141">
        <f t="shared" si="84"/>
        <v>0</v>
      </c>
      <c r="BM131" s="141">
        <f t="shared" si="85"/>
        <v>0</v>
      </c>
      <c r="BN131" s="141">
        <f t="shared" si="86"/>
        <v>0</v>
      </c>
      <c r="BO131" s="141">
        <f t="shared" si="87"/>
        <v>0</v>
      </c>
      <c r="BP131" s="141">
        <f t="shared" si="88"/>
        <v>0</v>
      </c>
      <c r="BT131" s="177"/>
      <c r="BU131" s="173"/>
      <c r="BV131" s="174"/>
      <c r="BW131" s="117"/>
      <c r="BX131" s="180"/>
      <c r="BY131" s="117"/>
      <c r="BZ131" s="181"/>
      <c r="CA131" s="182"/>
      <c r="CB131" s="176"/>
      <c r="CC131" s="176"/>
      <c r="CF131" s="170"/>
      <c r="CG131" s="171"/>
      <c r="CH131" s="170"/>
      <c r="CI131" s="171"/>
    </row>
    <row r="132" spans="2:87" s="108" customFormat="1" hidden="1">
      <c r="B132" s="109"/>
      <c r="C132" s="141" t="e">
        <f t="shared" si="109"/>
        <v>#NUM!</v>
      </c>
      <c r="D132" s="141">
        <f t="shared" si="65"/>
        <v>0</v>
      </c>
      <c r="E132" s="141"/>
      <c r="F132" s="142">
        <f t="shared" si="89"/>
        <v>0</v>
      </c>
      <c r="G132" s="143" t="s">
        <v>146</v>
      </c>
      <c r="H132" s="80">
        <f t="shared" si="66"/>
        <v>0</v>
      </c>
      <c r="I132" s="80" t="str">
        <f t="shared" si="90"/>
        <v/>
      </c>
      <c r="J132" s="144"/>
      <c r="K132" s="144"/>
      <c r="L132" s="144"/>
      <c r="M132" s="76"/>
      <c r="N132" s="77"/>
      <c r="O132" s="145"/>
      <c r="P132" s="77"/>
      <c r="Q132" s="78"/>
      <c r="R132" s="79"/>
      <c r="S132" s="146">
        <f t="shared" si="110"/>
        <v>0</v>
      </c>
      <c r="T132" s="141" t="b">
        <f t="shared" si="105"/>
        <v>0</v>
      </c>
      <c r="U132" s="649">
        <f t="shared" si="67"/>
        <v>0</v>
      </c>
      <c r="V132" s="650"/>
      <c r="W132" s="649">
        <f t="shared" si="68"/>
        <v>0</v>
      </c>
      <c r="X132" s="650"/>
      <c r="Y132" s="649">
        <f t="shared" si="69"/>
        <v>0</v>
      </c>
      <c r="Z132" s="650"/>
      <c r="AA132" s="649">
        <f t="shared" si="70"/>
        <v>0</v>
      </c>
      <c r="AB132" s="650"/>
      <c r="AC132" s="649">
        <f t="shared" si="71"/>
        <v>0</v>
      </c>
      <c r="AD132" s="650"/>
      <c r="AE132" s="649">
        <f t="shared" si="72"/>
        <v>0</v>
      </c>
      <c r="AF132" s="650"/>
      <c r="AG132" s="649">
        <f t="shared" si="73"/>
        <v>0</v>
      </c>
      <c r="AH132" s="650"/>
      <c r="AI132" s="649">
        <f t="shared" si="74"/>
        <v>0</v>
      </c>
      <c r="AJ132" s="650"/>
      <c r="AK132" s="649">
        <f t="shared" si="75"/>
        <v>0</v>
      </c>
      <c r="AL132" s="650"/>
      <c r="AM132" s="649">
        <f t="shared" si="76"/>
        <v>0</v>
      </c>
      <c r="AN132" s="650"/>
      <c r="AO132" s="649">
        <f t="shared" si="77"/>
        <v>0</v>
      </c>
      <c r="AP132" s="650"/>
      <c r="AQ132" s="649">
        <f t="shared" si="78"/>
        <v>0</v>
      </c>
      <c r="AR132" s="650"/>
      <c r="AS132" s="651">
        <f t="shared" si="79"/>
        <v>0</v>
      </c>
      <c r="AT132" s="652"/>
      <c r="AU132" s="141">
        <f t="shared" si="92"/>
        <v>0</v>
      </c>
      <c r="AV132" s="141">
        <f t="shared" si="93"/>
        <v>0</v>
      </c>
      <c r="AW132" s="141">
        <f t="shared" si="94"/>
        <v>0</v>
      </c>
      <c r="AX132" s="141">
        <f t="shared" si="95"/>
        <v>0</v>
      </c>
      <c r="AY132" s="141">
        <f t="shared" si="96"/>
        <v>0</v>
      </c>
      <c r="AZ132" s="141">
        <f t="shared" si="97"/>
        <v>0</v>
      </c>
      <c r="BA132" s="141">
        <f t="shared" si="98"/>
        <v>0</v>
      </c>
      <c r="BB132" s="141">
        <f t="shared" si="99"/>
        <v>0</v>
      </c>
      <c r="BC132" s="141">
        <f t="shared" si="100"/>
        <v>0</v>
      </c>
      <c r="BD132" s="141">
        <f t="shared" si="101"/>
        <v>0</v>
      </c>
      <c r="BE132" s="141">
        <f t="shared" si="102"/>
        <v>0</v>
      </c>
      <c r="BF132" s="141">
        <f t="shared" si="103"/>
        <v>0</v>
      </c>
      <c r="BG132" s="141">
        <f t="shared" si="80"/>
        <v>0</v>
      </c>
      <c r="BH132" s="141">
        <f t="shared" si="81"/>
        <v>0</v>
      </c>
      <c r="BI132" s="141">
        <f t="shared" si="104"/>
        <v>0</v>
      </c>
      <c r="BJ132" s="147">
        <f t="shared" si="82"/>
        <v>0</v>
      </c>
      <c r="BK132" s="141">
        <f t="shared" si="83"/>
        <v>0</v>
      </c>
      <c r="BL132" s="141">
        <f t="shared" si="84"/>
        <v>0</v>
      </c>
      <c r="BM132" s="141">
        <f t="shared" si="85"/>
        <v>0</v>
      </c>
      <c r="BN132" s="141">
        <f t="shared" si="86"/>
        <v>0</v>
      </c>
      <c r="BO132" s="141">
        <f t="shared" si="87"/>
        <v>0</v>
      </c>
      <c r="BP132" s="141">
        <f t="shared" si="88"/>
        <v>0</v>
      </c>
      <c r="BT132" s="177"/>
      <c r="BU132" s="173"/>
      <c r="BV132" s="174"/>
      <c r="BW132" s="117"/>
      <c r="BX132" s="180"/>
      <c r="BY132" s="117"/>
      <c r="BZ132" s="181"/>
      <c r="CA132" s="182"/>
      <c r="CB132" s="176"/>
      <c r="CC132" s="176"/>
      <c r="CF132" s="170"/>
      <c r="CG132" s="171"/>
      <c r="CH132" s="170"/>
      <c r="CI132" s="171"/>
    </row>
    <row r="133" spans="2:87" s="108" customFormat="1" hidden="1">
      <c r="B133" s="109"/>
      <c r="C133" s="141" t="e">
        <f t="shared" si="109"/>
        <v>#NUM!</v>
      </c>
      <c r="D133" s="141">
        <f t="shared" si="65"/>
        <v>0</v>
      </c>
      <c r="E133" s="141" t="str">
        <f>IFERROR(DGET($BV$30:$CC$82,F133,G132:G133),"")</f>
        <v/>
      </c>
      <c r="F133" s="142">
        <f t="shared" si="89"/>
        <v>0</v>
      </c>
      <c r="G133" s="142" t="b">
        <f>IF(Q133&gt;0,IF(AND(S133&gt;0,S133&lt;2),CONCATENATE(Q133," ","0-2"),IF(AND(S133&gt;=2,S133&lt;8),CONCATENATE(Q133," ","2-8"),)))</f>
        <v>0</v>
      </c>
      <c r="H133" s="80">
        <f t="shared" si="66"/>
        <v>0</v>
      </c>
      <c r="I133" s="80" t="str">
        <f t="shared" si="90"/>
        <v/>
      </c>
      <c r="J133" s="76"/>
      <c r="K133" s="76"/>
      <c r="L133" s="76"/>
      <c r="M133" s="80"/>
      <c r="N133" s="79"/>
      <c r="O133" s="148"/>
      <c r="P133" s="77"/>
      <c r="Q133" s="81"/>
      <c r="R133" s="77"/>
      <c r="S133" s="146">
        <f t="shared" si="110"/>
        <v>0</v>
      </c>
      <c r="T133" s="141" t="b">
        <f t="shared" si="105"/>
        <v>0</v>
      </c>
      <c r="U133" s="649">
        <f t="shared" si="67"/>
        <v>0</v>
      </c>
      <c r="V133" s="650"/>
      <c r="W133" s="649">
        <f t="shared" si="68"/>
        <v>0</v>
      </c>
      <c r="X133" s="650"/>
      <c r="Y133" s="649">
        <f t="shared" si="69"/>
        <v>0</v>
      </c>
      <c r="Z133" s="650"/>
      <c r="AA133" s="649">
        <f t="shared" si="70"/>
        <v>0</v>
      </c>
      <c r="AB133" s="650"/>
      <c r="AC133" s="649">
        <f t="shared" si="71"/>
        <v>0</v>
      </c>
      <c r="AD133" s="650"/>
      <c r="AE133" s="649">
        <f t="shared" si="72"/>
        <v>0</v>
      </c>
      <c r="AF133" s="650"/>
      <c r="AG133" s="649">
        <f t="shared" si="73"/>
        <v>0</v>
      </c>
      <c r="AH133" s="650"/>
      <c r="AI133" s="649">
        <f t="shared" si="74"/>
        <v>0</v>
      </c>
      <c r="AJ133" s="650"/>
      <c r="AK133" s="649">
        <f t="shared" si="75"/>
        <v>0</v>
      </c>
      <c r="AL133" s="650"/>
      <c r="AM133" s="649">
        <f t="shared" si="76"/>
        <v>0</v>
      </c>
      <c r="AN133" s="650"/>
      <c r="AO133" s="649">
        <f t="shared" si="77"/>
        <v>0</v>
      </c>
      <c r="AP133" s="650"/>
      <c r="AQ133" s="649">
        <f t="shared" si="78"/>
        <v>0</v>
      </c>
      <c r="AR133" s="650"/>
      <c r="AS133" s="651">
        <f t="shared" si="79"/>
        <v>0</v>
      </c>
      <c r="AT133" s="652"/>
      <c r="AU133" s="141">
        <f t="shared" si="92"/>
        <v>0</v>
      </c>
      <c r="AV133" s="141">
        <f t="shared" si="93"/>
        <v>0</v>
      </c>
      <c r="AW133" s="141">
        <f t="shared" si="94"/>
        <v>0</v>
      </c>
      <c r="AX133" s="141">
        <f t="shared" si="95"/>
        <v>0</v>
      </c>
      <c r="AY133" s="141">
        <f t="shared" si="96"/>
        <v>0</v>
      </c>
      <c r="AZ133" s="141">
        <f t="shared" si="97"/>
        <v>0</v>
      </c>
      <c r="BA133" s="141">
        <f t="shared" si="98"/>
        <v>0</v>
      </c>
      <c r="BB133" s="141">
        <f t="shared" si="99"/>
        <v>0</v>
      </c>
      <c r="BC133" s="141">
        <f t="shared" si="100"/>
        <v>0</v>
      </c>
      <c r="BD133" s="141">
        <f t="shared" si="101"/>
        <v>0</v>
      </c>
      <c r="BE133" s="141">
        <f t="shared" si="102"/>
        <v>0</v>
      </c>
      <c r="BF133" s="141">
        <f t="shared" si="103"/>
        <v>0</v>
      </c>
      <c r="BG133" s="141">
        <f t="shared" si="80"/>
        <v>0</v>
      </c>
      <c r="BH133" s="141">
        <f t="shared" si="81"/>
        <v>0</v>
      </c>
      <c r="BI133" s="141">
        <f t="shared" si="104"/>
        <v>0</v>
      </c>
      <c r="BJ133" s="147">
        <f t="shared" si="82"/>
        <v>0</v>
      </c>
      <c r="BK133" s="141">
        <f t="shared" si="83"/>
        <v>0</v>
      </c>
      <c r="BL133" s="141">
        <f t="shared" si="84"/>
        <v>0</v>
      </c>
      <c r="BM133" s="141">
        <f t="shared" si="85"/>
        <v>0</v>
      </c>
      <c r="BN133" s="141">
        <f t="shared" si="86"/>
        <v>0</v>
      </c>
      <c r="BO133" s="141">
        <f t="shared" si="87"/>
        <v>0</v>
      </c>
      <c r="BP133" s="141">
        <f t="shared" si="88"/>
        <v>0</v>
      </c>
      <c r="BT133" s="177"/>
      <c r="BU133" s="173"/>
      <c r="BV133" s="174"/>
      <c r="BW133" s="117"/>
      <c r="BX133" s="180"/>
      <c r="BY133" s="117"/>
      <c r="BZ133" s="181"/>
      <c r="CA133" s="182"/>
      <c r="CB133" s="176"/>
      <c r="CC133" s="176"/>
      <c r="CF133" s="170"/>
      <c r="CG133" s="171"/>
      <c r="CH133" s="170"/>
      <c r="CI133" s="171"/>
    </row>
    <row r="134" spans="2:87" s="108" customFormat="1" hidden="1">
      <c r="B134" s="109"/>
      <c r="C134" s="141" t="e">
        <f t="shared" si="109"/>
        <v>#NUM!</v>
      </c>
      <c r="D134" s="141">
        <f t="shared" si="65"/>
        <v>0</v>
      </c>
      <c r="E134" s="141"/>
      <c r="F134" s="142">
        <f t="shared" si="89"/>
        <v>0</v>
      </c>
      <c r="G134" s="143" t="s">
        <v>146</v>
      </c>
      <c r="H134" s="80">
        <f t="shared" si="66"/>
        <v>0</v>
      </c>
      <c r="I134" s="80" t="str">
        <f t="shared" si="90"/>
        <v/>
      </c>
      <c r="J134" s="165"/>
      <c r="K134" s="144"/>
      <c r="L134" s="144"/>
      <c r="M134" s="76"/>
      <c r="N134" s="77"/>
      <c r="O134" s="145"/>
      <c r="P134" s="77"/>
      <c r="Q134" s="78"/>
      <c r="R134" s="79"/>
      <c r="S134" s="146">
        <f t="shared" si="110"/>
        <v>0</v>
      </c>
      <c r="T134" s="141" t="b">
        <f t="shared" si="105"/>
        <v>0</v>
      </c>
      <c r="U134" s="649">
        <f t="shared" si="67"/>
        <v>0</v>
      </c>
      <c r="V134" s="650"/>
      <c r="W134" s="649">
        <f t="shared" si="68"/>
        <v>0</v>
      </c>
      <c r="X134" s="650"/>
      <c r="Y134" s="649">
        <f t="shared" si="69"/>
        <v>0</v>
      </c>
      <c r="Z134" s="650"/>
      <c r="AA134" s="649">
        <f t="shared" si="70"/>
        <v>0</v>
      </c>
      <c r="AB134" s="650"/>
      <c r="AC134" s="649">
        <f t="shared" si="71"/>
        <v>0</v>
      </c>
      <c r="AD134" s="650"/>
      <c r="AE134" s="649">
        <f t="shared" si="72"/>
        <v>0</v>
      </c>
      <c r="AF134" s="650"/>
      <c r="AG134" s="649">
        <f t="shared" si="73"/>
        <v>0</v>
      </c>
      <c r="AH134" s="650"/>
      <c r="AI134" s="649">
        <f t="shared" si="74"/>
        <v>0</v>
      </c>
      <c r="AJ134" s="650"/>
      <c r="AK134" s="649">
        <f t="shared" si="75"/>
        <v>0</v>
      </c>
      <c r="AL134" s="650"/>
      <c r="AM134" s="649">
        <f t="shared" si="76"/>
        <v>0</v>
      </c>
      <c r="AN134" s="650"/>
      <c r="AO134" s="649">
        <f t="shared" si="77"/>
        <v>0</v>
      </c>
      <c r="AP134" s="650"/>
      <c r="AQ134" s="649">
        <f t="shared" si="78"/>
        <v>0</v>
      </c>
      <c r="AR134" s="650"/>
      <c r="AS134" s="651">
        <f t="shared" si="79"/>
        <v>0</v>
      </c>
      <c r="AT134" s="652"/>
      <c r="AU134" s="141">
        <f t="shared" si="92"/>
        <v>0</v>
      </c>
      <c r="AV134" s="141">
        <f t="shared" si="93"/>
        <v>0</v>
      </c>
      <c r="AW134" s="141">
        <f t="shared" si="94"/>
        <v>0</v>
      </c>
      <c r="AX134" s="141">
        <f t="shared" si="95"/>
        <v>0</v>
      </c>
      <c r="AY134" s="141">
        <f t="shared" si="96"/>
        <v>0</v>
      </c>
      <c r="AZ134" s="141">
        <f t="shared" si="97"/>
        <v>0</v>
      </c>
      <c r="BA134" s="141">
        <f t="shared" si="98"/>
        <v>0</v>
      </c>
      <c r="BB134" s="141">
        <f t="shared" si="99"/>
        <v>0</v>
      </c>
      <c r="BC134" s="141">
        <f t="shared" si="100"/>
        <v>0</v>
      </c>
      <c r="BD134" s="141">
        <f t="shared" si="101"/>
        <v>0</v>
      </c>
      <c r="BE134" s="141">
        <f t="shared" si="102"/>
        <v>0</v>
      </c>
      <c r="BF134" s="141">
        <f t="shared" si="103"/>
        <v>0</v>
      </c>
      <c r="BG134" s="141">
        <f t="shared" si="80"/>
        <v>0</v>
      </c>
      <c r="BH134" s="141">
        <f t="shared" si="81"/>
        <v>0</v>
      </c>
      <c r="BI134" s="141">
        <f t="shared" si="104"/>
        <v>0</v>
      </c>
      <c r="BJ134" s="147">
        <f t="shared" si="82"/>
        <v>0</v>
      </c>
      <c r="BK134" s="141">
        <f t="shared" si="83"/>
        <v>0</v>
      </c>
      <c r="BL134" s="141">
        <f t="shared" si="84"/>
        <v>0</v>
      </c>
      <c r="BM134" s="141">
        <f t="shared" si="85"/>
        <v>0</v>
      </c>
      <c r="BN134" s="141">
        <f t="shared" si="86"/>
        <v>0</v>
      </c>
      <c r="BO134" s="141">
        <f t="shared" si="87"/>
        <v>0</v>
      </c>
      <c r="BP134" s="141">
        <f t="shared" si="88"/>
        <v>0</v>
      </c>
      <c r="BT134" s="177"/>
      <c r="BU134" s="173"/>
      <c r="BV134" s="174"/>
      <c r="BW134" s="117"/>
      <c r="BX134" s="180"/>
      <c r="BY134" s="117"/>
      <c r="BZ134" s="181"/>
      <c r="CA134" s="182"/>
      <c r="CB134" s="176"/>
      <c r="CC134" s="176"/>
      <c r="CF134" s="170"/>
      <c r="CG134" s="171"/>
      <c r="CH134" s="170"/>
      <c r="CI134" s="171"/>
    </row>
    <row r="135" spans="2:87" s="108" customFormat="1" hidden="1">
      <c r="B135" s="109"/>
      <c r="C135" s="141" t="e">
        <f t="shared" si="109"/>
        <v>#NUM!</v>
      </c>
      <c r="D135" s="141">
        <f t="shared" si="65"/>
        <v>0</v>
      </c>
      <c r="E135" s="141" t="str">
        <f>IFERROR(DGET($BV$30:$CC$82,F135,G134:G135),"")</f>
        <v/>
      </c>
      <c r="F135" s="142">
        <f t="shared" si="89"/>
        <v>0</v>
      </c>
      <c r="G135" s="142" t="b">
        <f>IF(Q135&gt;0,IF(AND(S135&gt;0,S135&lt;2),CONCATENATE(Q135," ","0-2"),IF(AND(S135&gt;=2,S135&lt;8),CONCATENATE(Q135," ","2-8"),)))</f>
        <v>0</v>
      </c>
      <c r="H135" s="80">
        <f t="shared" si="66"/>
        <v>0</v>
      </c>
      <c r="I135" s="80" t="str">
        <f t="shared" si="90"/>
        <v/>
      </c>
      <c r="J135" s="76"/>
      <c r="K135" s="76"/>
      <c r="L135" s="76"/>
      <c r="M135" s="80"/>
      <c r="N135" s="79"/>
      <c r="O135" s="148"/>
      <c r="P135" s="77">
        <f t="shared" si="91"/>
        <v>0</v>
      </c>
      <c r="Q135" s="81"/>
      <c r="R135" s="77"/>
      <c r="S135" s="146">
        <f t="shared" si="110"/>
        <v>0</v>
      </c>
      <c r="T135" s="141" t="b">
        <f t="shared" si="105"/>
        <v>0</v>
      </c>
      <c r="U135" s="649">
        <f t="shared" si="67"/>
        <v>0</v>
      </c>
      <c r="V135" s="650"/>
      <c r="W135" s="649">
        <f t="shared" si="68"/>
        <v>0</v>
      </c>
      <c r="X135" s="650"/>
      <c r="Y135" s="649">
        <f t="shared" si="69"/>
        <v>0</v>
      </c>
      <c r="Z135" s="650"/>
      <c r="AA135" s="649">
        <f t="shared" si="70"/>
        <v>0</v>
      </c>
      <c r="AB135" s="650"/>
      <c r="AC135" s="649">
        <f t="shared" si="71"/>
        <v>0</v>
      </c>
      <c r="AD135" s="650"/>
      <c r="AE135" s="649">
        <f t="shared" si="72"/>
        <v>0</v>
      </c>
      <c r="AF135" s="650"/>
      <c r="AG135" s="649">
        <f t="shared" si="73"/>
        <v>0</v>
      </c>
      <c r="AH135" s="650"/>
      <c r="AI135" s="649">
        <f t="shared" si="74"/>
        <v>0</v>
      </c>
      <c r="AJ135" s="650"/>
      <c r="AK135" s="649">
        <f t="shared" si="75"/>
        <v>0</v>
      </c>
      <c r="AL135" s="650"/>
      <c r="AM135" s="649">
        <f t="shared" si="76"/>
        <v>0</v>
      </c>
      <c r="AN135" s="650"/>
      <c r="AO135" s="649">
        <f t="shared" si="77"/>
        <v>0</v>
      </c>
      <c r="AP135" s="650"/>
      <c r="AQ135" s="649">
        <f t="shared" si="78"/>
        <v>0</v>
      </c>
      <c r="AR135" s="650"/>
      <c r="AS135" s="651">
        <f t="shared" si="79"/>
        <v>0</v>
      </c>
      <c r="AT135" s="652"/>
      <c r="AU135" s="141">
        <f t="shared" si="92"/>
        <v>0</v>
      </c>
      <c r="AV135" s="141">
        <f t="shared" si="93"/>
        <v>0</v>
      </c>
      <c r="AW135" s="141">
        <f t="shared" si="94"/>
        <v>0</v>
      </c>
      <c r="AX135" s="141">
        <f t="shared" si="95"/>
        <v>0</v>
      </c>
      <c r="AY135" s="141">
        <f t="shared" si="96"/>
        <v>0</v>
      </c>
      <c r="AZ135" s="141">
        <f t="shared" si="97"/>
        <v>0</v>
      </c>
      <c r="BA135" s="141">
        <f t="shared" si="98"/>
        <v>0</v>
      </c>
      <c r="BB135" s="141">
        <f t="shared" si="99"/>
        <v>0</v>
      </c>
      <c r="BC135" s="141">
        <f t="shared" si="100"/>
        <v>0</v>
      </c>
      <c r="BD135" s="141">
        <f t="shared" si="101"/>
        <v>0</v>
      </c>
      <c r="BE135" s="141">
        <f t="shared" si="102"/>
        <v>0</v>
      </c>
      <c r="BF135" s="141">
        <f t="shared" si="103"/>
        <v>0</v>
      </c>
      <c r="BG135" s="141">
        <f t="shared" si="80"/>
        <v>0</v>
      </c>
      <c r="BH135" s="141">
        <f t="shared" si="81"/>
        <v>0</v>
      </c>
      <c r="BI135" s="141">
        <f t="shared" si="104"/>
        <v>0</v>
      </c>
      <c r="BJ135" s="147">
        <f t="shared" si="82"/>
        <v>0</v>
      </c>
      <c r="BK135" s="141">
        <f t="shared" si="83"/>
        <v>0</v>
      </c>
      <c r="BL135" s="141">
        <f t="shared" si="84"/>
        <v>0</v>
      </c>
      <c r="BM135" s="141">
        <f t="shared" si="85"/>
        <v>0</v>
      </c>
      <c r="BN135" s="141">
        <f t="shared" si="86"/>
        <v>0</v>
      </c>
      <c r="BO135" s="141">
        <f t="shared" si="87"/>
        <v>0</v>
      </c>
      <c r="BP135" s="141">
        <f t="shared" si="88"/>
        <v>0</v>
      </c>
      <c r="BT135" s="177"/>
      <c r="BU135" s="173"/>
      <c r="BV135" s="174"/>
      <c r="BW135" s="117"/>
      <c r="BX135" s="180"/>
      <c r="BY135" s="117"/>
      <c r="BZ135" s="181"/>
      <c r="CA135" s="182"/>
      <c r="CB135" s="176"/>
      <c r="CC135" s="176"/>
      <c r="CF135" s="170"/>
      <c r="CG135" s="171"/>
      <c r="CH135" s="170"/>
      <c r="CI135" s="171"/>
    </row>
    <row r="136" spans="2:87" s="108" customFormat="1" hidden="1">
      <c r="B136" s="109"/>
      <c r="C136" s="141" t="e">
        <f t="shared" si="109"/>
        <v>#NUM!</v>
      </c>
      <c r="D136" s="141">
        <f t="shared" si="65"/>
        <v>0</v>
      </c>
      <c r="E136" s="141"/>
      <c r="F136" s="142">
        <f t="shared" si="89"/>
        <v>0</v>
      </c>
      <c r="G136" s="143" t="s">
        <v>146</v>
      </c>
      <c r="H136" s="80">
        <f t="shared" si="66"/>
        <v>0</v>
      </c>
      <c r="I136" s="80" t="str">
        <f t="shared" si="90"/>
        <v/>
      </c>
      <c r="J136" s="144"/>
      <c r="K136" s="144"/>
      <c r="L136" s="144"/>
      <c r="M136" s="76"/>
      <c r="N136" s="77"/>
      <c r="O136" s="145"/>
      <c r="P136" s="77">
        <f t="shared" si="91"/>
        <v>0</v>
      </c>
      <c r="Q136" s="78"/>
      <c r="R136" s="79"/>
      <c r="S136" s="146">
        <f t="shared" si="110"/>
        <v>0</v>
      </c>
      <c r="T136" s="141" t="b">
        <f t="shared" si="105"/>
        <v>0</v>
      </c>
      <c r="U136" s="649">
        <f t="shared" si="67"/>
        <v>0</v>
      </c>
      <c r="V136" s="650"/>
      <c r="W136" s="649">
        <f t="shared" si="68"/>
        <v>0</v>
      </c>
      <c r="X136" s="650"/>
      <c r="Y136" s="649">
        <f t="shared" si="69"/>
        <v>0</v>
      </c>
      <c r="Z136" s="650"/>
      <c r="AA136" s="649">
        <f t="shared" si="70"/>
        <v>0</v>
      </c>
      <c r="AB136" s="650"/>
      <c r="AC136" s="649">
        <f t="shared" si="71"/>
        <v>0</v>
      </c>
      <c r="AD136" s="650"/>
      <c r="AE136" s="649">
        <f t="shared" si="72"/>
        <v>0</v>
      </c>
      <c r="AF136" s="650"/>
      <c r="AG136" s="649">
        <f t="shared" si="73"/>
        <v>0</v>
      </c>
      <c r="AH136" s="650"/>
      <c r="AI136" s="649">
        <f t="shared" si="74"/>
        <v>0</v>
      </c>
      <c r="AJ136" s="650"/>
      <c r="AK136" s="649">
        <f t="shared" si="75"/>
        <v>0</v>
      </c>
      <c r="AL136" s="650"/>
      <c r="AM136" s="649">
        <f t="shared" si="76"/>
        <v>0</v>
      </c>
      <c r="AN136" s="650"/>
      <c r="AO136" s="649">
        <f t="shared" si="77"/>
        <v>0</v>
      </c>
      <c r="AP136" s="650"/>
      <c r="AQ136" s="649">
        <f t="shared" si="78"/>
        <v>0</v>
      </c>
      <c r="AR136" s="650"/>
      <c r="AS136" s="651">
        <f t="shared" si="79"/>
        <v>0</v>
      </c>
      <c r="AT136" s="652"/>
      <c r="AU136" s="141">
        <f t="shared" si="92"/>
        <v>0</v>
      </c>
      <c r="AV136" s="141">
        <f t="shared" si="93"/>
        <v>0</v>
      </c>
      <c r="AW136" s="141">
        <f t="shared" si="94"/>
        <v>0</v>
      </c>
      <c r="AX136" s="141">
        <f t="shared" si="95"/>
        <v>0</v>
      </c>
      <c r="AY136" s="141">
        <f t="shared" si="96"/>
        <v>0</v>
      </c>
      <c r="AZ136" s="141">
        <f t="shared" si="97"/>
        <v>0</v>
      </c>
      <c r="BA136" s="141">
        <f t="shared" si="98"/>
        <v>0</v>
      </c>
      <c r="BB136" s="141">
        <f t="shared" si="99"/>
        <v>0</v>
      </c>
      <c r="BC136" s="141">
        <f t="shared" si="100"/>
        <v>0</v>
      </c>
      <c r="BD136" s="141">
        <f t="shared" si="101"/>
        <v>0</v>
      </c>
      <c r="BE136" s="141">
        <f t="shared" si="102"/>
        <v>0</v>
      </c>
      <c r="BF136" s="141">
        <f t="shared" si="103"/>
        <v>0</v>
      </c>
      <c r="BG136" s="141">
        <f t="shared" si="80"/>
        <v>0</v>
      </c>
      <c r="BH136" s="141">
        <f t="shared" si="81"/>
        <v>0</v>
      </c>
      <c r="BI136" s="141">
        <f t="shared" si="104"/>
        <v>0</v>
      </c>
      <c r="BJ136" s="147">
        <f t="shared" si="82"/>
        <v>0</v>
      </c>
      <c r="BK136" s="141">
        <f t="shared" si="83"/>
        <v>0</v>
      </c>
      <c r="BL136" s="141">
        <f t="shared" si="84"/>
        <v>0</v>
      </c>
      <c r="BM136" s="141">
        <f t="shared" si="85"/>
        <v>0</v>
      </c>
      <c r="BN136" s="141">
        <f t="shared" si="86"/>
        <v>0</v>
      </c>
      <c r="BO136" s="141">
        <f t="shared" si="87"/>
        <v>0</v>
      </c>
      <c r="BP136" s="141">
        <f t="shared" si="88"/>
        <v>0</v>
      </c>
      <c r="BT136" s="177"/>
      <c r="BU136" s="173"/>
      <c r="BV136" s="174"/>
      <c r="BW136" s="117"/>
      <c r="BX136" s="180"/>
      <c r="BY136" s="117"/>
      <c r="BZ136" s="181"/>
      <c r="CA136" s="182"/>
      <c r="CB136" s="176"/>
      <c r="CC136" s="176"/>
      <c r="CF136" s="170"/>
      <c r="CG136" s="171"/>
      <c r="CH136" s="170"/>
      <c r="CI136" s="171"/>
    </row>
    <row r="137" spans="2:87" s="108" customFormat="1" hidden="1">
      <c r="B137" s="109"/>
      <c r="C137" s="141" t="e">
        <f t="shared" si="109"/>
        <v>#NUM!</v>
      </c>
      <c r="D137" s="141">
        <f t="shared" si="65"/>
        <v>0</v>
      </c>
      <c r="E137" s="141" t="str">
        <f>IFERROR(DGET($BV$30:$CC$82,F137,G136:G137),"")</f>
        <v/>
      </c>
      <c r="F137" s="142">
        <f t="shared" si="89"/>
        <v>0</v>
      </c>
      <c r="G137" s="142" t="b">
        <f>IF(Q137&gt;0,IF(AND(S137&gt;0,S137&lt;2),CONCATENATE(Q137," ","0-2"),IF(AND(S137&gt;=2,S137&lt;8),CONCATENATE(Q137," ","2-8"),)))</f>
        <v>0</v>
      </c>
      <c r="H137" s="80">
        <f t="shared" si="66"/>
        <v>0</v>
      </c>
      <c r="I137" s="80" t="str">
        <f t="shared" si="90"/>
        <v/>
      </c>
      <c r="J137" s="76"/>
      <c r="K137" s="76"/>
      <c r="L137" s="76"/>
      <c r="M137" s="80"/>
      <c r="N137" s="79"/>
      <c r="O137" s="148"/>
      <c r="P137" s="77">
        <f t="shared" si="91"/>
        <v>0</v>
      </c>
      <c r="Q137" s="81"/>
      <c r="R137" s="77"/>
      <c r="S137" s="146">
        <f t="shared" si="110"/>
        <v>0</v>
      </c>
      <c r="T137" s="141" t="b">
        <f t="shared" si="105"/>
        <v>0</v>
      </c>
      <c r="U137" s="649">
        <f t="shared" si="67"/>
        <v>0</v>
      </c>
      <c r="V137" s="650"/>
      <c r="W137" s="649">
        <f t="shared" si="68"/>
        <v>0</v>
      </c>
      <c r="X137" s="650"/>
      <c r="Y137" s="649">
        <f t="shared" si="69"/>
        <v>0</v>
      </c>
      <c r="Z137" s="650"/>
      <c r="AA137" s="649">
        <f t="shared" si="70"/>
        <v>0</v>
      </c>
      <c r="AB137" s="650"/>
      <c r="AC137" s="649">
        <f t="shared" si="71"/>
        <v>0</v>
      </c>
      <c r="AD137" s="650"/>
      <c r="AE137" s="649">
        <f t="shared" si="72"/>
        <v>0</v>
      </c>
      <c r="AF137" s="650"/>
      <c r="AG137" s="649">
        <f t="shared" si="73"/>
        <v>0</v>
      </c>
      <c r="AH137" s="650"/>
      <c r="AI137" s="649">
        <f t="shared" si="74"/>
        <v>0</v>
      </c>
      <c r="AJ137" s="650"/>
      <c r="AK137" s="649">
        <f t="shared" si="75"/>
        <v>0</v>
      </c>
      <c r="AL137" s="650"/>
      <c r="AM137" s="649">
        <f t="shared" si="76"/>
        <v>0</v>
      </c>
      <c r="AN137" s="650"/>
      <c r="AO137" s="649">
        <f t="shared" si="77"/>
        <v>0</v>
      </c>
      <c r="AP137" s="650"/>
      <c r="AQ137" s="649">
        <f t="shared" si="78"/>
        <v>0</v>
      </c>
      <c r="AR137" s="650"/>
      <c r="AS137" s="651">
        <f t="shared" si="79"/>
        <v>0</v>
      </c>
      <c r="AT137" s="652"/>
      <c r="AU137" s="141">
        <f t="shared" si="92"/>
        <v>0</v>
      </c>
      <c r="AV137" s="141">
        <f t="shared" si="93"/>
        <v>0</v>
      </c>
      <c r="AW137" s="141">
        <f t="shared" si="94"/>
        <v>0</v>
      </c>
      <c r="AX137" s="141">
        <f t="shared" si="95"/>
        <v>0</v>
      </c>
      <c r="AY137" s="141">
        <f t="shared" si="96"/>
        <v>0</v>
      </c>
      <c r="AZ137" s="141">
        <f t="shared" si="97"/>
        <v>0</v>
      </c>
      <c r="BA137" s="141">
        <f t="shared" si="98"/>
        <v>0</v>
      </c>
      <c r="BB137" s="141">
        <f t="shared" si="99"/>
        <v>0</v>
      </c>
      <c r="BC137" s="141">
        <f t="shared" si="100"/>
        <v>0</v>
      </c>
      <c r="BD137" s="141">
        <f t="shared" si="101"/>
        <v>0</v>
      </c>
      <c r="BE137" s="141">
        <f t="shared" si="102"/>
        <v>0</v>
      </c>
      <c r="BF137" s="141">
        <f t="shared" si="103"/>
        <v>0</v>
      </c>
      <c r="BG137" s="141">
        <f t="shared" si="80"/>
        <v>0</v>
      </c>
      <c r="BH137" s="141">
        <f t="shared" si="81"/>
        <v>0</v>
      </c>
      <c r="BI137" s="141">
        <f t="shared" si="104"/>
        <v>0</v>
      </c>
      <c r="BJ137" s="147">
        <f t="shared" si="82"/>
        <v>0</v>
      </c>
      <c r="BK137" s="141">
        <f t="shared" si="83"/>
        <v>0</v>
      </c>
      <c r="BL137" s="141">
        <f t="shared" si="84"/>
        <v>0</v>
      </c>
      <c r="BM137" s="141">
        <f t="shared" si="85"/>
        <v>0</v>
      </c>
      <c r="BN137" s="141">
        <f t="shared" si="86"/>
        <v>0</v>
      </c>
      <c r="BO137" s="141">
        <f t="shared" si="87"/>
        <v>0</v>
      </c>
      <c r="BP137" s="141">
        <f t="shared" si="88"/>
        <v>0</v>
      </c>
      <c r="BT137" s="177"/>
      <c r="BU137" s="173"/>
      <c r="BV137" s="174"/>
      <c r="BW137" s="117"/>
      <c r="BX137" s="180"/>
      <c r="BY137" s="117"/>
      <c r="BZ137" s="181"/>
      <c r="CA137" s="182"/>
      <c r="CB137" s="176"/>
      <c r="CC137" s="176"/>
      <c r="CF137" s="170"/>
      <c r="CG137" s="171"/>
      <c r="CH137" s="170"/>
      <c r="CI137" s="171"/>
    </row>
    <row r="138" spans="2:87" s="108" customFormat="1" hidden="1">
      <c r="B138" s="109"/>
      <c r="C138" s="141" t="e">
        <f t="shared" si="109"/>
        <v>#NUM!</v>
      </c>
      <c r="D138" s="141">
        <f t="shared" si="65"/>
        <v>0</v>
      </c>
      <c r="E138" s="141"/>
      <c r="F138" s="142">
        <f t="shared" si="89"/>
        <v>0</v>
      </c>
      <c r="G138" s="143" t="s">
        <v>146</v>
      </c>
      <c r="H138" s="80">
        <f t="shared" si="66"/>
        <v>0</v>
      </c>
      <c r="I138" s="80" t="str">
        <f t="shared" si="90"/>
        <v/>
      </c>
      <c r="J138" s="144"/>
      <c r="K138" s="144"/>
      <c r="L138" s="144"/>
      <c r="M138" s="76"/>
      <c r="N138" s="77"/>
      <c r="O138" s="145"/>
      <c r="P138" s="77">
        <f t="shared" si="91"/>
        <v>0</v>
      </c>
      <c r="Q138" s="78"/>
      <c r="R138" s="79"/>
      <c r="S138" s="146">
        <f t="shared" si="110"/>
        <v>0</v>
      </c>
      <c r="T138" s="141" t="b">
        <f t="shared" si="105"/>
        <v>0</v>
      </c>
      <c r="U138" s="649">
        <f t="shared" si="67"/>
        <v>0</v>
      </c>
      <c r="V138" s="650"/>
      <c r="W138" s="649">
        <f t="shared" si="68"/>
        <v>0</v>
      </c>
      <c r="X138" s="650"/>
      <c r="Y138" s="649">
        <f t="shared" si="69"/>
        <v>0</v>
      </c>
      <c r="Z138" s="650"/>
      <c r="AA138" s="649">
        <f t="shared" si="70"/>
        <v>0</v>
      </c>
      <c r="AB138" s="650"/>
      <c r="AC138" s="649">
        <f t="shared" si="71"/>
        <v>0</v>
      </c>
      <c r="AD138" s="650"/>
      <c r="AE138" s="649">
        <f t="shared" si="72"/>
        <v>0</v>
      </c>
      <c r="AF138" s="650"/>
      <c r="AG138" s="649">
        <f t="shared" si="73"/>
        <v>0</v>
      </c>
      <c r="AH138" s="650"/>
      <c r="AI138" s="649">
        <f t="shared" si="74"/>
        <v>0</v>
      </c>
      <c r="AJ138" s="650"/>
      <c r="AK138" s="649">
        <f t="shared" si="75"/>
        <v>0</v>
      </c>
      <c r="AL138" s="650"/>
      <c r="AM138" s="649">
        <f t="shared" si="76"/>
        <v>0</v>
      </c>
      <c r="AN138" s="650"/>
      <c r="AO138" s="649">
        <f t="shared" si="77"/>
        <v>0</v>
      </c>
      <c r="AP138" s="650"/>
      <c r="AQ138" s="649">
        <f t="shared" si="78"/>
        <v>0</v>
      </c>
      <c r="AR138" s="650"/>
      <c r="AS138" s="651">
        <f t="shared" si="79"/>
        <v>0</v>
      </c>
      <c r="AT138" s="652"/>
      <c r="AU138" s="141">
        <f t="shared" si="92"/>
        <v>0</v>
      </c>
      <c r="AV138" s="141">
        <f t="shared" si="93"/>
        <v>0</v>
      </c>
      <c r="AW138" s="141">
        <f t="shared" si="94"/>
        <v>0</v>
      </c>
      <c r="AX138" s="141">
        <f t="shared" si="95"/>
        <v>0</v>
      </c>
      <c r="AY138" s="141">
        <f t="shared" si="96"/>
        <v>0</v>
      </c>
      <c r="AZ138" s="141">
        <f t="shared" si="97"/>
        <v>0</v>
      </c>
      <c r="BA138" s="141">
        <f t="shared" si="98"/>
        <v>0</v>
      </c>
      <c r="BB138" s="141">
        <f t="shared" si="99"/>
        <v>0</v>
      </c>
      <c r="BC138" s="141">
        <f t="shared" si="100"/>
        <v>0</v>
      </c>
      <c r="BD138" s="141">
        <f t="shared" si="101"/>
        <v>0</v>
      </c>
      <c r="BE138" s="141">
        <f t="shared" si="102"/>
        <v>0</v>
      </c>
      <c r="BF138" s="141">
        <f t="shared" si="103"/>
        <v>0</v>
      </c>
      <c r="BG138" s="141">
        <f t="shared" si="80"/>
        <v>0</v>
      </c>
      <c r="BH138" s="141">
        <f t="shared" si="81"/>
        <v>0</v>
      </c>
      <c r="BI138" s="141">
        <f t="shared" si="104"/>
        <v>0</v>
      </c>
      <c r="BJ138" s="147">
        <f t="shared" si="82"/>
        <v>0</v>
      </c>
      <c r="BK138" s="141">
        <f t="shared" si="83"/>
        <v>0</v>
      </c>
      <c r="BL138" s="141">
        <f t="shared" si="84"/>
        <v>0</v>
      </c>
      <c r="BM138" s="141">
        <f t="shared" si="85"/>
        <v>0</v>
      </c>
      <c r="BN138" s="141">
        <f t="shared" si="86"/>
        <v>0</v>
      </c>
      <c r="BO138" s="141">
        <f t="shared" si="87"/>
        <v>0</v>
      </c>
      <c r="BP138" s="141">
        <f t="shared" si="88"/>
        <v>0</v>
      </c>
      <c r="BT138" s="177"/>
      <c r="BU138" s="173"/>
      <c r="BV138" s="174"/>
      <c r="BW138" s="117"/>
      <c r="BX138" s="180"/>
      <c r="BY138" s="117"/>
      <c r="BZ138" s="181"/>
      <c r="CA138" s="182"/>
      <c r="CB138" s="176"/>
      <c r="CC138" s="176"/>
      <c r="CF138" s="170"/>
      <c r="CG138" s="171"/>
      <c r="CH138" s="170"/>
      <c r="CI138" s="171"/>
    </row>
    <row r="139" spans="2:87" s="108" customFormat="1" hidden="1">
      <c r="B139" s="109"/>
      <c r="C139" s="141" t="e">
        <f t="shared" si="109"/>
        <v>#NUM!</v>
      </c>
      <c r="D139" s="141">
        <f t="shared" si="65"/>
        <v>0</v>
      </c>
      <c r="E139" s="141" t="str">
        <f>IFERROR(DGET($BV$30:$CC$82,F139,G138:G139),"")</f>
        <v/>
      </c>
      <c r="F139" s="142">
        <f t="shared" si="89"/>
        <v>0</v>
      </c>
      <c r="G139" s="142" t="b">
        <f>IF(Q139&gt;0,IF(AND(S139&gt;0,S139&lt;2),CONCATENATE(Q139," ","0-2"),IF(AND(S139&gt;=2,S139&lt;8),CONCATENATE(Q139," ","2-8"),)))</f>
        <v>0</v>
      </c>
      <c r="H139" s="80">
        <f t="shared" si="66"/>
        <v>0</v>
      </c>
      <c r="I139" s="80" t="str">
        <f t="shared" si="90"/>
        <v/>
      </c>
      <c r="J139" s="76"/>
      <c r="K139" s="76"/>
      <c r="L139" s="76"/>
      <c r="M139" s="80"/>
      <c r="N139" s="79"/>
      <c r="O139" s="148"/>
      <c r="P139" s="77">
        <f t="shared" si="91"/>
        <v>0</v>
      </c>
      <c r="Q139" s="81"/>
      <c r="R139" s="77"/>
      <c r="S139" s="146">
        <f t="shared" si="110"/>
        <v>0</v>
      </c>
      <c r="T139" s="141" t="b">
        <f t="shared" si="105"/>
        <v>0</v>
      </c>
      <c r="U139" s="649">
        <f t="shared" si="67"/>
        <v>0</v>
      </c>
      <c r="V139" s="650"/>
      <c r="W139" s="649">
        <f t="shared" si="68"/>
        <v>0</v>
      </c>
      <c r="X139" s="650"/>
      <c r="Y139" s="649">
        <f t="shared" si="69"/>
        <v>0</v>
      </c>
      <c r="Z139" s="650"/>
      <c r="AA139" s="649">
        <f t="shared" si="70"/>
        <v>0</v>
      </c>
      <c r="AB139" s="650"/>
      <c r="AC139" s="649">
        <f t="shared" si="71"/>
        <v>0</v>
      </c>
      <c r="AD139" s="650"/>
      <c r="AE139" s="649">
        <f t="shared" si="72"/>
        <v>0</v>
      </c>
      <c r="AF139" s="650"/>
      <c r="AG139" s="649">
        <f t="shared" si="73"/>
        <v>0</v>
      </c>
      <c r="AH139" s="650"/>
      <c r="AI139" s="649">
        <f t="shared" si="74"/>
        <v>0</v>
      </c>
      <c r="AJ139" s="650"/>
      <c r="AK139" s="649">
        <f t="shared" si="75"/>
        <v>0</v>
      </c>
      <c r="AL139" s="650"/>
      <c r="AM139" s="649">
        <f t="shared" si="76"/>
        <v>0</v>
      </c>
      <c r="AN139" s="650"/>
      <c r="AO139" s="649">
        <f t="shared" si="77"/>
        <v>0</v>
      </c>
      <c r="AP139" s="650"/>
      <c r="AQ139" s="649">
        <f t="shared" si="78"/>
        <v>0</v>
      </c>
      <c r="AR139" s="650"/>
      <c r="AS139" s="651">
        <f t="shared" si="79"/>
        <v>0</v>
      </c>
      <c r="AT139" s="652"/>
      <c r="AU139" s="141">
        <f t="shared" si="92"/>
        <v>0</v>
      </c>
      <c r="AV139" s="141">
        <f t="shared" si="93"/>
        <v>0</v>
      </c>
      <c r="AW139" s="141">
        <f t="shared" si="94"/>
        <v>0</v>
      </c>
      <c r="AX139" s="141">
        <f t="shared" si="95"/>
        <v>0</v>
      </c>
      <c r="AY139" s="141">
        <f t="shared" si="96"/>
        <v>0</v>
      </c>
      <c r="AZ139" s="141">
        <f t="shared" si="97"/>
        <v>0</v>
      </c>
      <c r="BA139" s="141">
        <f t="shared" si="98"/>
        <v>0</v>
      </c>
      <c r="BB139" s="141">
        <f t="shared" si="99"/>
        <v>0</v>
      </c>
      <c r="BC139" s="141">
        <f t="shared" si="100"/>
        <v>0</v>
      </c>
      <c r="BD139" s="141">
        <f t="shared" si="101"/>
        <v>0</v>
      </c>
      <c r="BE139" s="141">
        <f t="shared" si="102"/>
        <v>0</v>
      </c>
      <c r="BF139" s="141">
        <f t="shared" si="103"/>
        <v>0</v>
      </c>
      <c r="BG139" s="141">
        <f t="shared" si="80"/>
        <v>0</v>
      </c>
      <c r="BH139" s="141">
        <f t="shared" si="81"/>
        <v>0</v>
      </c>
      <c r="BI139" s="141">
        <f t="shared" si="104"/>
        <v>0</v>
      </c>
      <c r="BJ139" s="147">
        <f t="shared" si="82"/>
        <v>0</v>
      </c>
      <c r="BK139" s="141">
        <f t="shared" si="83"/>
        <v>0</v>
      </c>
      <c r="BL139" s="141">
        <f t="shared" si="84"/>
        <v>0</v>
      </c>
      <c r="BM139" s="141">
        <f t="shared" si="85"/>
        <v>0</v>
      </c>
      <c r="BN139" s="141">
        <f t="shared" si="86"/>
        <v>0</v>
      </c>
      <c r="BO139" s="141">
        <f t="shared" si="87"/>
        <v>0</v>
      </c>
      <c r="BP139" s="141">
        <f t="shared" si="88"/>
        <v>0</v>
      </c>
      <c r="BT139" s="177"/>
      <c r="BU139" s="173"/>
      <c r="BV139" s="174"/>
      <c r="BW139" s="117"/>
      <c r="BX139" s="180"/>
      <c r="BY139" s="117"/>
      <c r="BZ139" s="181"/>
      <c r="CA139" s="182"/>
      <c r="CB139" s="176"/>
      <c r="CC139" s="176"/>
      <c r="CF139" s="170"/>
      <c r="CG139" s="171"/>
      <c r="CH139" s="170"/>
      <c r="CI139" s="171"/>
    </row>
    <row r="140" spans="2:87" s="108" customFormat="1" hidden="1">
      <c r="B140" s="109"/>
      <c r="C140" s="141" t="e">
        <f t="shared" si="109"/>
        <v>#NUM!</v>
      </c>
      <c r="D140" s="141">
        <f t="shared" si="65"/>
        <v>0</v>
      </c>
      <c r="E140" s="141"/>
      <c r="F140" s="142">
        <f t="shared" si="89"/>
        <v>0</v>
      </c>
      <c r="G140" s="143" t="s">
        <v>146</v>
      </c>
      <c r="H140" s="80">
        <f t="shared" si="66"/>
        <v>0</v>
      </c>
      <c r="I140" s="80" t="str">
        <f t="shared" si="90"/>
        <v/>
      </c>
      <c r="J140" s="144"/>
      <c r="K140" s="144"/>
      <c r="L140" s="144"/>
      <c r="M140" s="76"/>
      <c r="N140" s="77"/>
      <c r="O140" s="145"/>
      <c r="P140" s="77">
        <f t="shared" si="91"/>
        <v>0</v>
      </c>
      <c r="Q140" s="78"/>
      <c r="R140" s="79"/>
      <c r="S140" s="146">
        <f t="shared" si="110"/>
        <v>0</v>
      </c>
      <c r="T140" s="141" t="b">
        <f t="shared" si="105"/>
        <v>0</v>
      </c>
      <c r="U140" s="649">
        <f t="shared" si="67"/>
        <v>0</v>
      </c>
      <c r="V140" s="650"/>
      <c r="W140" s="649">
        <f t="shared" si="68"/>
        <v>0</v>
      </c>
      <c r="X140" s="650"/>
      <c r="Y140" s="649">
        <f t="shared" si="69"/>
        <v>0</v>
      </c>
      <c r="Z140" s="650"/>
      <c r="AA140" s="649">
        <f t="shared" si="70"/>
        <v>0</v>
      </c>
      <c r="AB140" s="650"/>
      <c r="AC140" s="649">
        <f t="shared" si="71"/>
        <v>0</v>
      </c>
      <c r="AD140" s="650"/>
      <c r="AE140" s="649">
        <f t="shared" si="72"/>
        <v>0</v>
      </c>
      <c r="AF140" s="650"/>
      <c r="AG140" s="649">
        <f t="shared" si="73"/>
        <v>0</v>
      </c>
      <c r="AH140" s="650"/>
      <c r="AI140" s="649">
        <f t="shared" si="74"/>
        <v>0</v>
      </c>
      <c r="AJ140" s="650"/>
      <c r="AK140" s="649">
        <f t="shared" si="75"/>
        <v>0</v>
      </c>
      <c r="AL140" s="650"/>
      <c r="AM140" s="649">
        <f t="shared" si="76"/>
        <v>0</v>
      </c>
      <c r="AN140" s="650"/>
      <c r="AO140" s="649">
        <f t="shared" si="77"/>
        <v>0</v>
      </c>
      <c r="AP140" s="650"/>
      <c r="AQ140" s="649">
        <f t="shared" si="78"/>
        <v>0</v>
      </c>
      <c r="AR140" s="650"/>
      <c r="AS140" s="651">
        <f t="shared" si="79"/>
        <v>0</v>
      </c>
      <c r="AT140" s="652"/>
      <c r="AU140" s="141">
        <f t="shared" si="92"/>
        <v>0</v>
      </c>
      <c r="AV140" s="141">
        <f t="shared" si="93"/>
        <v>0</v>
      </c>
      <c r="AW140" s="141">
        <f t="shared" si="94"/>
        <v>0</v>
      </c>
      <c r="AX140" s="141">
        <f t="shared" si="95"/>
        <v>0</v>
      </c>
      <c r="AY140" s="141">
        <f t="shared" si="96"/>
        <v>0</v>
      </c>
      <c r="AZ140" s="141">
        <f t="shared" si="97"/>
        <v>0</v>
      </c>
      <c r="BA140" s="141">
        <f t="shared" si="98"/>
        <v>0</v>
      </c>
      <c r="BB140" s="141">
        <f t="shared" si="99"/>
        <v>0</v>
      </c>
      <c r="BC140" s="141">
        <f t="shared" si="100"/>
        <v>0</v>
      </c>
      <c r="BD140" s="141">
        <f t="shared" si="101"/>
        <v>0</v>
      </c>
      <c r="BE140" s="141">
        <f t="shared" si="102"/>
        <v>0</v>
      </c>
      <c r="BF140" s="141">
        <f t="shared" si="103"/>
        <v>0</v>
      </c>
      <c r="BG140" s="141">
        <f t="shared" si="80"/>
        <v>0</v>
      </c>
      <c r="BH140" s="141">
        <f t="shared" si="81"/>
        <v>0</v>
      </c>
      <c r="BI140" s="141">
        <f t="shared" si="104"/>
        <v>0</v>
      </c>
      <c r="BJ140" s="147">
        <f t="shared" si="82"/>
        <v>0</v>
      </c>
      <c r="BK140" s="141">
        <f t="shared" si="83"/>
        <v>0</v>
      </c>
      <c r="BL140" s="141">
        <f t="shared" si="84"/>
        <v>0</v>
      </c>
      <c r="BM140" s="141">
        <f t="shared" si="85"/>
        <v>0</v>
      </c>
      <c r="BN140" s="141">
        <f t="shared" si="86"/>
        <v>0</v>
      </c>
      <c r="BO140" s="141">
        <f t="shared" si="87"/>
        <v>0</v>
      </c>
      <c r="BP140" s="141">
        <f t="shared" si="88"/>
        <v>0</v>
      </c>
      <c r="BT140" s="177"/>
      <c r="BU140" s="173"/>
      <c r="BV140" s="174"/>
      <c r="BW140" s="117"/>
      <c r="BX140" s="180"/>
      <c r="BY140" s="117"/>
      <c r="BZ140" s="181"/>
      <c r="CA140" s="182"/>
      <c r="CB140" s="176"/>
      <c r="CC140" s="176"/>
      <c r="CF140" s="170"/>
      <c r="CG140" s="171"/>
      <c r="CH140" s="170"/>
      <c r="CI140" s="171"/>
    </row>
    <row r="141" spans="2:87" s="108" customFormat="1" hidden="1">
      <c r="B141" s="109"/>
      <c r="C141" s="141" t="e">
        <f t="shared" si="109"/>
        <v>#NUM!</v>
      </c>
      <c r="D141" s="141">
        <f t="shared" si="65"/>
        <v>0</v>
      </c>
      <c r="E141" s="141" t="str">
        <f>IFERROR(DGET($BV$30:$CC$82,F141,G140:G141),"")</f>
        <v/>
      </c>
      <c r="F141" s="142">
        <f t="shared" si="89"/>
        <v>0</v>
      </c>
      <c r="G141" s="142" t="b">
        <f>IF(Q141&gt;0,IF(AND(S141&gt;0,S141&lt;2),CONCATENATE(Q141," ","0-2"),IF(AND(S141&gt;=2,S141&lt;8),CONCATENATE(Q141," ","2-8"),)))</f>
        <v>0</v>
      </c>
      <c r="H141" s="80">
        <f t="shared" si="66"/>
        <v>0</v>
      </c>
      <c r="I141" s="80" t="str">
        <f t="shared" si="90"/>
        <v/>
      </c>
      <c r="J141" s="76"/>
      <c r="K141" s="76"/>
      <c r="L141" s="76"/>
      <c r="M141" s="80"/>
      <c r="N141" s="79"/>
      <c r="O141" s="148"/>
      <c r="P141" s="77">
        <f t="shared" si="91"/>
        <v>0</v>
      </c>
      <c r="Q141" s="81"/>
      <c r="R141" s="77"/>
      <c r="S141" s="146">
        <f t="shared" si="110"/>
        <v>0</v>
      </c>
      <c r="T141" s="141" t="b">
        <f t="shared" si="105"/>
        <v>0</v>
      </c>
      <c r="U141" s="649">
        <f t="shared" si="67"/>
        <v>0</v>
      </c>
      <c r="V141" s="650"/>
      <c r="W141" s="649">
        <f t="shared" si="68"/>
        <v>0</v>
      </c>
      <c r="X141" s="650"/>
      <c r="Y141" s="649">
        <f t="shared" si="69"/>
        <v>0</v>
      </c>
      <c r="Z141" s="650"/>
      <c r="AA141" s="649">
        <f t="shared" si="70"/>
        <v>0</v>
      </c>
      <c r="AB141" s="650"/>
      <c r="AC141" s="649">
        <f t="shared" si="71"/>
        <v>0</v>
      </c>
      <c r="AD141" s="650"/>
      <c r="AE141" s="649">
        <f t="shared" si="72"/>
        <v>0</v>
      </c>
      <c r="AF141" s="650"/>
      <c r="AG141" s="649">
        <f t="shared" si="73"/>
        <v>0</v>
      </c>
      <c r="AH141" s="650"/>
      <c r="AI141" s="649">
        <f t="shared" si="74"/>
        <v>0</v>
      </c>
      <c r="AJ141" s="650"/>
      <c r="AK141" s="649">
        <f t="shared" si="75"/>
        <v>0</v>
      </c>
      <c r="AL141" s="650"/>
      <c r="AM141" s="649">
        <f t="shared" si="76"/>
        <v>0</v>
      </c>
      <c r="AN141" s="650"/>
      <c r="AO141" s="649">
        <f t="shared" si="77"/>
        <v>0</v>
      </c>
      <c r="AP141" s="650"/>
      <c r="AQ141" s="649">
        <f t="shared" si="78"/>
        <v>0</v>
      </c>
      <c r="AR141" s="650"/>
      <c r="AS141" s="651">
        <f t="shared" si="79"/>
        <v>0</v>
      </c>
      <c r="AT141" s="652"/>
      <c r="AU141" s="141">
        <f t="shared" si="92"/>
        <v>0</v>
      </c>
      <c r="AV141" s="141">
        <f t="shared" si="93"/>
        <v>0</v>
      </c>
      <c r="AW141" s="141">
        <f t="shared" si="94"/>
        <v>0</v>
      </c>
      <c r="AX141" s="141">
        <f t="shared" si="95"/>
        <v>0</v>
      </c>
      <c r="AY141" s="141">
        <f t="shared" si="96"/>
        <v>0</v>
      </c>
      <c r="AZ141" s="141">
        <f t="shared" si="97"/>
        <v>0</v>
      </c>
      <c r="BA141" s="141">
        <f t="shared" si="98"/>
        <v>0</v>
      </c>
      <c r="BB141" s="141">
        <f t="shared" si="99"/>
        <v>0</v>
      </c>
      <c r="BC141" s="141">
        <f t="shared" si="100"/>
        <v>0</v>
      </c>
      <c r="BD141" s="141">
        <f t="shared" si="101"/>
        <v>0</v>
      </c>
      <c r="BE141" s="141">
        <f t="shared" si="102"/>
        <v>0</v>
      </c>
      <c r="BF141" s="141">
        <f t="shared" si="103"/>
        <v>0</v>
      </c>
      <c r="BG141" s="141">
        <f t="shared" si="80"/>
        <v>0</v>
      </c>
      <c r="BH141" s="141">
        <f t="shared" si="81"/>
        <v>0</v>
      </c>
      <c r="BI141" s="141">
        <f t="shared" si="104"/>
        <v>0</v>
      </c>
      <c r="BJ141" s="147">
        <f t="shared" si="82"/>
        <v>0</v>
      </c>
      <c r="BK141" s="141">
        <f t="shared" si="83"/>
        <v>0</v>
      </c>
      <c r="BL141" s="141">
        <f t="shared" si="84"/>
        <v>0</v>
      </c>
      <c r="BM141" s="141">
        <f t="shared" si="85"/>
        <v>0</v>
      </c>
      <c r="BN141" s="141">
        <f t="shared" si="86"/>
        <v>0</v>
      </c>
      <c r="BO141" s="141">
        <f t="shared" si="87"/>
        <v>0</v>
      </c>
      <c r="BP141" s="141">
        <f t="shared" si="88"/>
        <v>0</v>
      </c>
      <c r="BT141" s="177"/>
      <c r="BU141" s="173"/>
      <c r="BV141" s="174"/>
      <c r="BW141" s="117"/>
      <c r="BX141" s="180"/>
      <c r="BY141" s="117"/>
      <c r="BZ141" s="181"/>
      <c r="CA141" s="182"/>
      <c r="CB141" s="176"/>
      <c r="CC141" s="176"/>
      <c r="CF141" s="170"/>
      <c r="CG141" s="171"/>
      <c r="CH141" s="170"/>
      <c r="CI141" s="171"/>
    </row>
    <row r="142" spans="2:87" s="108" customFormat="1" hidden="1">
      <c r="B142" s="109"/>
      <c r="C142" s="141" t="e">
        <f t="shared" si="109"/>
        <v>#NUM!</v>
      </c>
      <c r="D142" s="141">
        <f t="shared" si="65"/>
        <v>0</v>
      </c>
      <c r="E142" s="141"/>
      <c r="F142" s="142">
        <f t="shared" si="89"/>
        <v>0</v>
      </c>
      <c r="G142" s="143" t="s">
        <v>146</v>
      </c>
      <c r="H142" s="80">
        <f t="shared" si="66"/>
        <v>0</v>
      </c>
      <c r="I142" s="80" t="str">
        <f t="shared" si="90"/>
        <v/>
      </c>
      <c r="J142" s="144"/>
      <c r="K142" s="144"/>
      <c r="L142" s="144"/>
      <c r="M142" s="76"/>
      <c r="N142" s="77"/>
      <c r="O142" s="145"/>
      <c r="P142" s="77">
        <f t="shared" si="91"/>
        <v>0</v>
      </c>
      <c r="Q142" s="78"/>
      <c r="R142" s="79"/>
      <c r="S142" s="146">
        <f t="shared" si="110"/>
        <v>0</v>
      </c>
      <c r="T142" s="141" t="b">
        <f t="shared" si="105"/>
        <v>0</v>
      </c>
      <c r="U142" s="649">
        <f t="shared" si="67"/>
        <v>0</v>
      </c>
      <c r="V142" s="650"/>
      <c r="W142" s="649">
        <f t="shared" si="68"/>
        <v>0</v>
      </c>
      <c r="X142" s="650"/>
      <c r="Y142" s="649">
        <f t="shared" si="69"/>
        <v>0</v>
      </c>
      <c r="Z142" s="650"/>
      <c r="AA142" s="649">
        <f t="shared" si="70"/>
        <v>0</v>
      </c>
      <c r="AB142" s="650"/>
      <c r="AC142" s="649">
        <f t="shared" si="71"/>
        <v>0</v>
      </c>
      <c r="AD142" s="650"/>
      <c r="AE142" s="649">
        <f t="shared" si="72"/>
        <v>0</v>
      </c>
      <c r="AF142" s="650"/>
      <c r="AG142" s="649">
        <f t="shared" si="73"/>
        <v>0</v>
      </c>
      <c r="AH142" s="650"/>
      <c r="AI142" s="649">
        <f t="shared" si="74"/>
        <v>0</v>
      </c>
      <c r="AJ142" s="650"/>
      <c r="AK142" s="649">
        <f t="shared" si="75"/>
        <v>0</v>
      </c>
      <c r="AL142" s="650"/>
      <c r="AM142" s="649">
        <f t="shared" si="76"/>
        <v>0</v>
      </c>
      <c r="AN142" s="650"/>
      <c r="AO142" s="649">
        <f t="shared" si="77"/>
        <v>0</v>
      </c>
      <c r="AP142" s="650"/>
      <c r="AQ142" s="649">
        <f t="shared" si="78"/>
        <v>0</v>
      </c>
      <c r="AR142" s="650"/>
      <c r="AS142" s="651">
        <f t="shared" si="79"/>
        <v>0</v>
      </c>
      <c r="AT142" s="652"/>
      <c r="AU142" s="141">
        <f t="shared" si="92"/>
        <v>0</v>
      </c>
      <c r="AV142" s="141">
        <f t="shared" si="93"/>
        <v>0</v>
      </c>
      <c r="AW142" s="141">
        <f t="shared" si="94"/>
        <v>0</v>
      </c>
      <c r="AX142" s="141">
        <f t="shared" si="95"/>
        <v>0</v>
      </c>
      <c r="AY142" s="141">
        <f t="shared" si="96"/>
        <v>0</v>
      </c>
      <c r="AZ142" s="141">
        <f t="shared" si="97"/>
        <v>0</v>
      </c>
      <c r="BA142" s="141">
        <f t="shared" si="98"/>
        <v>0</v>
      </c>
      <c r="BB142" s="141">
        <f t="shared" si="99"/>
        <v>0</v>
      </c>
      <c r="BC142" s="141">
        <f t="shared" si="100"/>
        <v>0</v>
      </c>
      <c r="BD142" s="141">
        <f t="shared" si="101"/>
        <v>0</v>
      </c>
      <c r="BE142" s="141">
        <f t="shared" si="102"/>
        <v>0</v>
      </c>
      <c r="BF142" s="141">
        <f t="shared" si="103"/>
        <v>0</v>
      </c>
      <c r="BG142" s="141">
        <f t="shared" si="80"/>
        <v>0</v>
      </c>
      <c r="BH142" s="141">
        <f t="shared" si="81"/>
        <v>0</v>
      </c>
      <c r="BI142" s="141">
        <f t="shared" si="104"/>
        <v>0</v>
      </c>
      <c r="BJ142" s="147">
        <f t="shared" si="82"/>
        <v>0</v>
      </c>
      <c r="BK142" s="141">
        <f t="shared" si="83"/>
        <v>0</v>
      </c>
      <c r="BL142" s="141">
        <f t="shared" si="84"/>
        <v>0</v>
      </c>
      <c r="BM142" s="141">
        <f t="shared" si="85"/>
        <v>0</v>
      </c>
      <c r="BN142" s="141">
        <f t="shared" si="86"/>
        <v>0</v>
      </c>
      <c r="BO142" s="141">
        <f t="shared" si="87"/>
        <v>0</v>
      </c>
      <c r="BP142" s="141">
        <f t="shared" si="88"/>
        <v>0</v>
      </c>
      <c r="BT142" s="177"/>
      <c r="BU142" s="173"/>
      <c r="BV142" s="174"/>
      <c r="BW142" s="117"/>
      <c r="BX142" s="180"/>
      <c r="BY142" s="117"/>
      <c r="BZ142" s="181"/>
      <c r="CA142" s="182"/>
      <c r="CB142" s="176"/>
      <c r="CC142" s="176"/>
      <c r="CF142" s="170"/>
      <c r="CG142" s="171"/>
      <c r="CH142" s="170"/>
      <c r="CI142" s="171"/>
    </row>
    <row r="143" spans="2:87" s="108" customFormat="1" hidden="1">
      <c r="B143" s="109"/>
      <c r="C143" s="141" t="e">
        <f t="shared" si="109"/>
        <v>#NUM!</v>
      </c>
      <c r="D143" s="141">
        <f t="shared" si="65"/>
        <v>0</v>
      </c>
      <c r="E143" s="141" t="str">
        <f>IFERROR(DGET($BV$30:$CC$82,F143,G142:G143),"")</f>
        <v/>
      </c>
      <c r="F143" s="142">
        <f t="shared" si="89"/>
        <v>0</v>
      </c>
      <c r="G143" s="142" t="b">
        <f>IF(Q143&gt;0,IF(AND(S143&gt;0,S143&lt;2),CONCATENATE(Q143," ","0-2"),IF(AND(S143&gt;=2,S143&lt;8),CONCATENATE(Q143," ","2-8"),)))</f>
        <v>0</v>
      </c>
      <c r="H143" s="80">
        <f t="shared" si="66"/>
        <v>0</v>
      </c>
      <c r="I143" s="80" t="str">
        <f t="shared" si="90"/>
        <v/>
      </c>
      <c r="J143" s="76"/>
      <c r="K143" s="76"/>
      <c r="L143" s="76"/>
      <c r="M143" s="80"/>
      <c r="N143" s="79"/>
      <c r="O143" s="148"/>
      <c r="P143" s="77">
        <f t="shared" si="91"/>
        <v>0</v>
      </c>
      <c r="Q143" s="81"/>
      <c r="R143" s="77"/>
      <c r="S143" s="146">
        <f t="shared" si="110"/>
        <v>0</v>
      </c>
      <c r="T143" s="141" t="b">
        <f t="shared" si="105"/>
        <v>0</v>
      </c>
      <c r="U143" s="649">
        <f t="shared" si="67"/>
        <v>0</v>
      </c>
      <c r="V143" s="650"/>
      <c r="W143" s="649">
        <f t="shared" si="68"/>
        <v>0</v>
      </c>
      <c r="X143" s="650"/>
      <c r="Y143" s="649">
        <f t="shared" si="69"/>
        <v>0</v>
      </c>
      <c r="Z143" s="650"/>
      <c r="AA143" s="649">
        <f t="shared" si="70"/>
        <v>0</v>
      </c>
      <c r="AB143" s="650"/>
      <c r="AC143" s="649">
        <f t="shared" si="71"/>
        <v>0</v>
      </c>
      <c r="AD143" s="650"/>
      <c r="AE143" s="649">
        <f t="shared" si="72"/>
        <v>0</v>
      </c>
      <c r="AF143" s="650"/>
      <c r="AG143" s="649">
        <f t="shared" si="73"/>
        <v>0</v>
      </c>
      <c r="AH143" s="650"/>
      <c r="AI143" s="649">
        <f t="shared" si="74"/>
        <v>0</v>
      </c>
      <c r="AJ143" s="650"/>
      <c r="AK143" s="649">
        <f t="shared" si="75"/>
        <v>0</v>
      </c>
      <c r="AL143" s="650"/>
      <c r="AM143" s="649">
        <f t="shared" si="76"/>
        <v>0</v>
      </c>
      <c r="AN143" s="650"/>
      <c r="AO143" s="649">
        <f t="shared" si="77"/>
        <v>0</v>
      </c>
      <c r="AP143" s="650"/>
      <c r="AQ143" s="649">
        <f t="shared" si="78"/>
        <v>0</v>
      </c>
      <c r="AR143" s="650"/>
      <c r="AS143" s="651">
        <f t="shared" si="79"/>
        <v>0</v>
      </c>
      <c r="AT143" s="652"/>
      <c r="AU143" s="141">
        <f t="shared" si="92"/>
        <v>0</v>
      </c>
      <c r="AV143" s="141">
        <f t="shared" si="93"/>
        <v>0</v>
      </c>
      <c r="AW143" s="141">
        <f t="shared" si="94"/>
        <v>0</v>
      </c>
      <c r="AX143" s="141">
        <f t="shared" si="95"/>
        <v>0</v>
      </c>
      <c r="AY143" s="141">
        <f t="shared" si="96"/>
        <v>0</v>
      </c>
      <c r="AZ143" s="141">
        <f t="shared" si="97"/>
        <v>0</v>
      </c>
      <c r="BA143" s="141">
        <f t="shared" si="98"/>
        <v>0</v>
      </c>
      <c r="BB143" s="141">
        <f t="shared" si="99"/>
        <v>0</v>
      </c>
      <c r="BC143" s="141">
        <f t="shared" si="100"/>
        <v>0</v>
      </c>
      <c r="BD143" s="141">
        <f t="shared" si="101"/>
        <v>0</v>
      </c>
      <c r="BE143" s="141">
        <f t="shared" si="102"/>
        <v>0</v>
      </c>
      <c r="BF143" s="141">
        <f t="shared" si="103"/>
        <v>0</v>
      </c>
      <c r="BG143" s="141">
        <f t="shared" si="80"/>
        <v>0</v>
      </c>
      <c r="BH143" s="141">
        <f t="shared" si="81"/>
        <v>0</v>
      </c>
      <c r="BI143" s="141">
        <f t="shared" si="104"/>
        <v>0</v>
      </c>
      <c r="BJ143" s="147">
        <f t="shared" si="82"/>
        <v>0</v>
      </c>
      <c r="BK143" s="141">
        <f t="shared" si="83"/>
        <v>0</v>
      </c>
      <c r="BL143" s="141">
        <f t="shared" si="84"/>
        <v>0</v>
      </c>
      <c r="BM143" s="141">
        <f t="shared" si="85"/>
        <v>0</v>
      </c>
      <c r="BN143" s="141">
        <f t="shared" si="86"/>
        <v>0</v>
      </c>
      <c r="BO143" s="141">
        <f t="shared" si="87"/>
        <v>0</v>
      </c>
      <c r="BP143" s="141">
        <f t="shared" si="88"/>
        <v>0</v>
      </c>
      <c r="BT143" s="177"/>
      <c r="BU143" s="173"/>
      <c r="BV143" s="174"/>
      <c r="BW143" s="117"/>
      <c r="BX143" s="180"/>
      <c r="BY143" s="117"/>
      <c r="BZ143" s="181"/>
      <c r="CA143" s="182"/>
      <c r="CB143" s="176"/>
      <c r="CC143" s="176"/>
      <c r="CF143" s="170"/>
      <c r="CG143" s="171"/>
      <c r="CH143" s="170"/>
      <c r="CI143" s="171"/>
    </row>
    <row r="144" spans="2:87" s="108" customFormat="1" hidden="1">
      <c r="B144" s="109"/>
      <c r="C144" s="141" t="e">
        <f t="shared" si="109"/>
        <v>#NUM!</v>
      </c>
      <c r="D144" s="141">
        <f t="shared" si="65"/>
        <v>0</v>
      </c>
      <c r="E144" s="141"/>
      <c r="F144" s="142">
        <f t="shared" si="89"/>
        <v>0</v>
      </c>
      <c r="G144" s="143" t="s">
        <v>146</v>
      </c>
      <c r="H144" s="80">
        <f t="shared" si="66"/>
        <v>0</v>
      </c>
      <c r="I144" s="80" t="str">
        <f t="shared" si="90"/>
        <v/>
      </c>
      <c r="J144" s="144"/>
      <c r="K144" s="144"/>
      <c r="L144" s="144"/>
      <c r="M144" s="76"/>
      <c r="N144" s="77"/>
      <c r="O144" s="145"/>
      <c r="P144" s="77">
        <f t="shared" si="91"/>
        <v>0</v>
      </c>
      <c r="Q144" s="78"/>
      <c r="R144" s="79"/>
      <c r="S144" s="146">
        <f t="shared" si="110"/>
        <v>0</v>
      </c>
      <c r="T144" s="141" t="b">
        <f t="shared" si="105"/>
        <v>0</v>
      </c>
      <c r="U144" s="649">
        <f t="shared" si="67"/>
        <v>0</v>
      </c>
      <c r="V144" s="650"/>
      <c r="W144" s="649">
        <f t="shared" si="68"/>
        <v>0</v>
      </c>
      <c r="X144" s="650"/>
      <c r="Y144" s="649">
        <f t="shared" si="69"/>
        <v>0</v>
      </c>
      <c r="Z144" s="650"/>
      <c r="AA144" s="649">
        <f t="shared" si="70"/>
        <v>0</v>
      </c>
      <c r="AB144" s="650"/>
      <c r="AC144" s="649">
        <f t="shared" si="71"/>
        <v>0</v>
      </c>
      <c r="AD144" s="650"/>
      <c r="AE144" s="649">
        <f t="shared" si="72"/>
        <v>0</v>
      </c>
      <c r="AF144" s="650"/>
      <c r="AG144" s="649">
        <f t="shared" si="73"/>
        <v>0</v>
      </c>
      <c r="AH144" s="650"/>
      <c r="AI144" s="649">
        <f t="shared" si="74"/>
        <v>0</v>
      </c>
      <c r="AJ144" s="650"/>
      <c r="AK144" s="649">
        <f t="shared" si="75"/>
        <v>0</v>
      </c>
      <c r="AL144" s="650"/>
      <c r="AM144" s="649">
        <f t="shared" si="76"/>
        <v>0</v>
      </c>
      <c r="AN144" s="650"/>
      <c r="AO144" s="649">
        <f t="shared" si="77"/>
        <v>0</v>
      </c>
      <c r="AP144" s="650"/>
      <c r="AQ144" s="649">
        <f t="shared" si="78"/>
        <v>0</v>
      </c>
      <c r="AR144" s="650"/>
      <c r="AS144" s="651">
        <f t="shared" si="79"/>
        <v>0</v>
      </c>
      <c r="AT144" s="652"/>
      <c r="AU144" s="141">
        <f t="shared" si="92"/>
        <v>0</v>
      </c>
      <c r="AV144" s="141">
        <f t="shared" si="93"/>
        <v>0</v>
      </c>
      <c r="AW144" s="141">
        <f t="shared" si="94"/>
        <v>0</v>
      </c>
      <c r="AX144" s="141">
        <f t="shared" si="95"/>
        <v>0</v>
      </c>
      <c r="AY144" s="141">
        <f t="shared" si="96"/>
        <v>0</v>
      </c>
      <c r="AZ144" s="141">
        <f t="shared" si="97"/>
        <v>0</v>
      </c>
      <c r="BA144" s="141">
        <f t="shared" si="98"/>
        <v>0</v>
      </c>
      <c r="BB144" s="141">
        <f t="shared" si="99"/>
        <v>0</v>
      </c>
      <c r="BC144" s="141">
        <f t="shared" si="100"/>
        <v>0</v>
      </c>
      <c r="BD144" s="141">
        <f t="shared" si="101"/>
        <v>0</v>
      </c>
      <c r="BE144" s="141">
        <f t="shared" si="102"/>
        <v>0</v>
      </c>
      <c r="BF144" s="141">
        <f t="shared" si="103"/>
        <v>0</v>
      </c>
      <c r="BG144" s="141">
        <f t="shared" si="80"/>
        <v>0</v>
      </c>
      <c r="BH144" s="141">
        <f t="shared" si="81"/>
        <v>0</v>
      </c>
      <c r="BI144" s="141">
        <f t="shared" si="104"/>
        <v>0</v>
      </c>
      <c r="BJ144" s="147">
        <f t="shared" si="82"/>
        <v>0</v>
      </c>
      <c r="BK144" s="141">
        <f t="shared" si="83"/>
        <v>0</v>
      </c>
      <c r="BL144" s="141">
        <f t="shared" si="84"/>
        <v>0</v>
      </c>
      <c r="BM144" s="141">
        <f t="shared" si="85"/>
        <v>0</v>
      </c>
      <c r="BN144" s="141">
        <f t="shared" si="86"/>
        <v>0</v>
      </c>
      <c r="BO144" s="141">
        <f t="shared" si="87"/>
        <v>0</v>
      </c>
      <c r="BP144" s="141">
        <f t="shared" si="88"/>
        <v>0</v>
      </c>
      <c r="BT144" s="177"/>
      <c r="BU144" s="173"/>
      <c r="BV144" s="174"/>
      <c r="BW144" s="117"/>
      <c r="BX144" s="180"/>
      <c r="BY144" s="117"/>
      <c r="BZ144" s="181"/>
      <c r="CA144" s="182"/>
      <c r="CB144" s="176"/>
      <c r="CC144" s="176"/>
      <c r="CF144" s="170"/>
      <c r="CG144" s="171"/>
      <c r="CH144" s="170"/>
      <c r="CI144" s="171"/>
    </row>
    <row r="145" spans="2:87" s="108" customFormat="1" hidden="1">
      <c r="B145" s="109"/>
      <c r="C145" s="141" t="e">
        <f t="shared" si="109"/>
        <v>#NUM!</v>
      </c>
      <c r="D145" s="141">
        <f t="shared" si="65"/>
        <v>0</v>
      </c>
      <c r="E145" s="141" t="str">
        <f>IFERROR(DGET($BV$30:$CC$82,F145,G144:G145),"")</f>
        <v/>
      </c>
      <c r="F145" s="142">
        <f t="shared" si="89"/>
        <v>0</v>
      </c>
      <c r="G145" s="142" t="b">
        <f>IF(Q145&gt;0,IF(AND(S145&gt;0,S145&lt;2),CONCATENATE(Q145," ","0-2"),IF(AND(S145&gt;=2,S145&lt;8),CONCATENATE(Q145," ","2-8"),)))</f>
        <v>0</v>
      </c>
      <c r="H145" s="80">
        <f t="shared" si="66"/>
        <v>0</v>
      </c>
      <c r="I145" s="80" t="str">
        <f t="shared" si="90"/>
        <v/>
      </c>
      <c r="J145" s="76"/>
      <c r="K145" s="76"/>
      <c r="L145" s="76"/>
      <c r="M145" s="80"/>
      <c r="N145" s="79"/>
      <c r="O145" s="148"/>
      <c r="P145" s="77">
        <f t="shared" si="91"/>
        <v>0</v>
      </c>
      <c r="Q145" s="81"/>
      <c r="R145" s="77"/>
      <c r="S145" s="146">
        <f t="shared" si="110"/>
        <v>0</v>
      </c>
      <c r="T145" s="141" t="b">
        <f t="shared" si="105"/>
        <v>0</v>
      </c>
      <c r="U145" s="649">
        <f t="shared" si="67"/>
        <v>0</v>
      </c>
      <c r="V145" s="650"/>
      <c r="W145" s="649">
        <f t="shared" si="68"/>
        <v>0</v>
      </c>
      <c r="X145" s="650"/>
      <c r="Y145" s="649">
        <f t="shared" si="69"/>
        <v>0</v>
      </c>
      <c r="Z145" s="650"/>
      <c r="AA145" s="649">
        <f t="shared" si="70"/>
        <v>0</v>
      </c>
      <c r="AB145" s="650"/>
      <c r="AC145" s="649">
        <f t="shared" si="71"/>
        <v>0</v>
      </c>
      <c r="AD145" s="650"/>
      <c r="AE145" s="649">
        <f t="shared" si="72"/>
        <v>0</v>
      </c>
      <c r="AF145" s="650"/>
      <c r="AG145" s="649">
        <f t="shared" si="73"/>
        <v>0</v>
      </c>
      <c r="AH145" s="650"/>
      <c r="AI145" s="649">
        <f t="shared" si="74"/>
        <v>0</v>
      </c>
      <c r="AJ145" s="650"/>
      <c r="AK145" s="649">
        <f t="shared" si="75"/>
        <v>0</v>
      </c>
      <c r="AL145" s="650"/>
      <c r="AM145" s="649">
        <f t="shared" si="76"/>
        <v>0</v>
      </c>
      <c r="AN145" s="650"/>
      <c r="AO145" s="649">
        <f t="shared" si="77"/>
        <v>0</v>
      </c>
      <c r="AP145" s="650"/>
      <c r="AQ145" s="649">
        <f t="shared" si="78"/>
        <v>0</v>
      </c>
      <c r="AR145" s="650"/>
      <c r="AS145" s="651">
        <f t="shared" si="79"/>
        <v>0</v>
      </c>
      <c r="AT145" s="652"/>
      <c r="AU145" s="141">
        <f t="shared" si="92"/>
        <v>0</v>
      </c>
      <c r="AV145" s="141">
        <f t="shared" si="93"/>
        <v>0</v>
      </c>
      <c r="AW145" s="141">
        <f t="shared" si="94"/>
        <v>0</v>
      </c>
      <c r="AX145" s="141">
        <f t="shared" si="95"/>
        <v>0</v>
      </c>
      <c r="AY145" s="141">
        <f t="shared" si="96"/>
        <v>0</v>
      </c>
      <c r="AZ145" s="141">
        <f t="shared" si="97"/>
        <v>0</v>
      </c>
      <c r="BA145" s="141">
        <f t="shared" si="98"/>
        <v>0</v>
      </c>
      <c r="BB145" s="141">
        <f t="shared" si="99"/>
        <v>0</v>
      </c>
      <c r="BC145" s="141">
        <f t="shared" si="100"/>
        <v>0</v>
      </c>
      <c r="BD145" s="141">
        <f t="shared" si="101"/>
        <v>0</v>
      </c>
      <c r="BE145" s="141">
        <f t="shared" si="102"/>
        <v>0</v>
      </c>
      <c r="BF145" s="141">
        <f t="shared" si="103"/>
        <v>0</v>
      </c>
      <c r="BG145" s="141">
        <f t="shared" si="80"/>
        <v>0</v>
      </c>
      <c r="BH145" s="141">
        <f t="shared" si="81"/>
        <v>0</v>
      </c>
      <c r="BI145" s="141">
        <f t="shared" si="104"/>
        <v>0</v>
      </c>
      <c r="BJ145" s="147">
        <f t="shared" si="82"/>
        <v>0</v>
      </c>
      <c r="BK145" s="141">
        <f t="shared" si="83"/>
        <v>0</v>
      </c>
      <c r="BL145" s="141">
        <f t="shared" si="84"/>
        <v>0</v>
      </c>
      <c r="BM145" s="141">
        <f t="shared" si="85"/>
        <v>0</v>
      </c>
      <c r="BN145" s="141">
        <f t="shared" si="86"/>
        <v>0</v>
      </c>
      <c r="BO145" s="141">
        <f t="shared" si="87"/>
        <v>0</v>
      </c>
      <c r="BP145" s="141">
        <f t="shared" si="88"/>
        <v>0</v>
      </c>
      <c r="BT145" s="177"/>
      <c r="BU145" s="173"/>
      <c r="BV145" s="174"/>
      <c r="BW145" s="117"/>
      <c r="BX145" s="180"/>
      <c r="BY145" s="117"/>
      <c r="BZ145" s="181"/>
      <c r="CA145" s="182"/>
      <c r="CB145" s="176"/>
      <c r="CC145" s="176"/>
      <c r="CF145" s="170"/>
      <c r="CG145" s="171"/>
      <c r="CH145" s="170"/>
      <c r="CI145" s="171"/>
    </row>
    <row r="146" spans="2:87" s="108" customFormat="1" hidden="1">
      <c r="B146" s="109"/>
      <c r="C146" s="141" t="e">
        <f t="shared" si="109"/>
        <v>#NUM!</v>
      </c>
      <c r="D146" s="141">
        <f t="shared" si="65"/>
        <v>0</v>
      </c>
      <c r="E146" s="141"/>
      <c r="F146" s="142">
        <f t="shared" si="89"/>
        <v>0</v>
      </c>
      <c r="G146" s="143" t="s">
        <v>146</v>
      </c>
      <c r="H146" s="80">
        <f t="shared" si="66"/>
        <v>0</v>
      </c>
      <c r="I146" s="80" t="str">
        <f t="shared" si="90"/>
        <v/>
      </c>
      <c r="J146" s="144"/>
      <c r="K146" s="144"/>
      <c r="L146" s="144"/>
      <c r="M146" s="76"/>
      <c r="N146" s="77"/>
      <c r="O146" s="145"/>
      <c r="P146" s="77">
        <f t="shared" si="91"/>
        <v>0</v>
      </c>
      <c r="Q146" s="78"/>
      <c r="R146" s="79"/>
      <c r="S146" s="146">
        <f t="shared" si="110"/>
        <v>0</v>
      </c>
      <c r="T146" s="141" t="b">
        <f t="shared" si="105"/>
        <v>0</v>
      </c>
      <c r="U146" s="649">
        <f t="shared" si="67"/>
        <v>0</v>
      </c>
      <c r="V146" s="650"/>
      <c r="W146" s="649">
        <f t="shared" si="68"/>
        <v>0</v>
      </c>
      <c r="X146" s="650"/>
      <c r="Y146" s="649">
        <f t="shared" si="69"/>
        <v>0</v>
      </c>
      <c r="Z146" s="650"/>
      <c r="AA146" s="649">
        <f t="shared" si="70"/>
        <v>0</v>
      </c>
      <c r="AB146" s="650"/>
      <c r="AC146" s="649">
        <f t="shared" si="71"/>
        <v>0</v>
      </c>
      <c r="AD146" s="650"/>
      <c r="AE146" s="649">
        <f t="shared" si="72"/>
        <v>0</v>
      </c>
      <c r="AF146" s="650"/>
      <c r="AG146" s="649">
        <f t="shared" si="73"/>
        <v>0</v>
      </c>
      <c r="AH146" s="650"/>
      <c r="AI146" s="649">
        <f t="shared" si="74"/>
        <v>0</v>
      </c>
      <c r="AJ146" s="650"/>
      <c r="AK146" s="649">
        <f t="shared" si="75"/>
        <v>0</v>
      </c>
      <c r="AL146" s="650"/>
      <c r="AM146" s="649">
        <f t="shared" si="76"/>
        <v>0</v>
      </c>
      <c r="AN146" s="650"/>
      <c r="AO146" s="649">
        <f t="shared" si="77"/>
        <v>0</v>
      </c>
      <c r="AP146" s="650"/>
      <c r="AQ146" s="649">
        <f t="shared" si="78"/>
        <v>0</v>
      </c>
      <c r="AR146" s="650"/>
      <c r="AS146" s="651">
        <f t="shared" si="79"/>
        <v>0</v>
      </c>
      <c r="AT146" s="652"/>
      <c r="AU146" s="141">
        <f t="shared" si="92"/>
        <v>0</v>
      </c>
      <c r="AV146" s="141">
        <f t="shared" si="93"/>
        <v>0</v>
      </c>
      <c r="AW146" s="141">
        <f t="shared" si="94"/>
        <v>0</v>
      </c>
      <c r="AX146" s="141">
        <f t="shared" si="95"/>
        <v>0</v>
      </c>
      <c r="AY146" s="141">
        <f t="shared" si="96"/>
        <v>0</v>
      </c>
      <c r="AZ146" s="141">
        <f t="shared" si="97"/>
        <v>0</v>
      </c>
      <c r="BA146" s="141">
        <f t="shared" si="98"/>
        <v>0</v>
      </c>
      <c r="BB146" s="141">
        <f t="shared" si="99"/>
        <v>0</v>
      </c>
      <c r="BC146" s="141">
        <f t="shared" si="100"/>
        <v>0</v>
      </c>
      <c r="BD146" s="141">
        <f t="shared" si="101"/>
        <v>0</v>
      </c>
      <c r="BE146" s="141">
        <f t="shared" si="102"/>
        <v>0</v>
      </c>
      <c r="BF146" s="141">
        <f t="shared" si="103"/>
        <v>0</v>
      </c>
      <c r="BG146" s="141">
        <f t="shared" si="80"/>
        <v>0</v>
      </c>
      <c r="BH146" s="141">
        <f t="shared" si="81"/>
        <v>0</v>
      </c>
      <c r="BI146" s="141">
        <f t="shared" si="104"/>
        <v>0</v>
      </c>
      <c r="BJ146" s="147">
        <f t="shared" si="82"/>
        <v>0</v>
      </c>
      <c r="BK146" s="141">
        <f t="shared" si="83"/>
        <v>0</v>
      </c>
      <c r="BL146" s="141">
        <f t="shared" si="84"/>
        <v>0</v>
      </c>
      <c r="BM146" s="141">
        <f t="shared" si="85"/>
        <v>0</v>
      </c>
      <c r="BN146" s="141">
        <f t="shared" si="86"/>
        <v>0</v>
      </c>
      <c r="BO146" s="141">
        <f t="shared" si="87"/>
        <v>0</v>
      </c>
      <c r="BP146" s="141">
        <f t="shared" si="88"/>
        <v>0</v>
      </c>
      <c r="BT146" s="177"/>
      <c r="BU146" s="173"/>
      <c r="BV146" s="174"/>
      <c r="BW146" s="117"/>
      <c r="BX146" s="180"/>
      <c r="BY146" s="117"/>
      <c r="BZ146" s="181"/>
      <c r="CA146" s="182"/>
      <c r="CB146" s="176"/>
      <c r="CC146" s="176"/>
      <c r="CF146" s="170"/>
      <c r="CG146" s="171"/>
      <c r="CH146" s="170"/>
      <c r="CI146" s="171"/>
    </row>
    <row r="147" spans="2:87" s="108" customFormat="1" hidden="1">
      <c r="B147" s="109"/>
      <c r="C147" s="141" t="e">
        <f t="shared" si="109"/>
        <v>#NUM!</v>
      </c>
      <c r="D147" s="141">
        <f t="shared" si="65"/>
        <v>0</v>
      </c>
      <c r="E147" s="141" t="str">
        <f>IFERROR(DGET($BV$30:$CC$82,F147,G146:G147),"")</f>
        <v/>
      </c>
      <c r="F147" s="142">
        <f t="shared" si="89"/>
        <v>0</v>
      </c>
      <c r="G147" s="142" t="b">
        <f>IF(Q147&gt;0,IF(AND(S147&gt;0,S147&lt;2),CONCATENATE(Q147," ","0-2"),IF(AND(S147&gt;=2,S147&lt;8),CONCATENATE(Q147," ","2-8"),)))</f>
        <v>0</v>
      </c>
      <c r="H147" s="80">
        <f t="shared" si="66"/>
        <v>0</v>
      </c>
      <c r="I147" s="80" t="str">
        <f t="shared" si="90"/>
        <v/>
      </c>
      <c r="J147" s="76"/>
      <c r="K147" s="76"/>
      <c r="L147" s="76"/>
      <c r="M147" s="80"/>
      <c r="N147" s="79"/>
      <c r="O147" s="148"/>
      <c r="P147" s="77">
        <f t="shared" si="91"/>
        <v>0</v>
      </c>
      <c r="Q147" s="81"/>
      <c r="R147" s="77"/>
      <c r="S147" s="146">
        <f t="shared" si="110"/>
        <v>0</v>
      </c>
      <c r="T147" s="141" t="b">
        <f t="shared" si="105"/>
        <v>0</v>
      </c>
      <c r="U147" s="649">
        <f t="shared" si="67"/>
        <v>0</v>
      </c>
      <c r="V147" s="650"/>
      <c r="W147" s="649">
        <f t="shared" si="68"/>
        <v>0</v>
      </c>
      <c r="X147" s="650"/>
      <c r="Y147" s="649">
        <f t="shared" si="69"/>
        <v>0</v>
      </c>
      <c r="Z147" s="650"/>
      <c r="AA147" s="649">
        <f t="shared" si="70"/>
        <v>0</v>
      </c>
      <c r="AB147" s="650"/>
      <c r="AC147" s="649">
        <f t="shared" si="71"/>
        <v>0</v>
      </c>
      <c r="AD147" s="650"/>
      <c r="AE147" s="649">
        <f t="shared" si="72"/>
        <v>0</v>
      </c>
      <c r="AF147" s="650"/>
      <c r="AG147" s="649">
        <f t="shared" si="73"/>
        <v>0</v>
      </c>
      <c r="AH147" s="650"/>
      <c r="AI147" s="649">
        <f t="shared" si="74"/>
        <v>0</v>
      </c>
      <c r="AJ147" s="650"/>
      <c r="AK147" s="649">
        <f t="shared" si="75"/>
        <v>0</v>
      </c>
      <c r="AL147" s="650"/>
      <c r="AM147" s="649">
        <f t="shared" si="76"/>
        <v>0</v>
      </c>
      <c r="AN147" s="650"/>
      <c r="AO147" s="649">
        <f t="shared" si="77"/>
        <v>0</v>
      </c>
      <c r="AP147" s="650"/>
      <c r="AQ147" s="649">
        <f t="shared" si="78"/>
        <v>0</v>
      </c>
      <c r="AR147" s="650"/>
      <c r="AS147" s="651">
        <f t="shared" si="79"/>
        <v>0</v>
      </c>
      <c r="AT147" s="652"/>
      <c r="AU147" s="141">
        <f t="shared" si="92"/>
        <v>0</v>
      </c>
      <c r="AV147" s="141">
        <f t="shared" si="93"/>
        <v>0</v>
      </c>
      <c r="AW147" s="141">
        <f t="shared" si="94"/>
        <v>0</v>
      </c>
      <c r="AX147" s="141">
        <f t="shared" si="95"/>
        <v>0</v>
      </c>
      <c r="AY147" s="141">
        <f t="shared" si="96"/>
        <v>0</v>
      </c>
      <c r="AZ147" s="141">
        <f t="shared" si="97"/>
        <v>0</v>
      </c>
      <c r="BA147" s="141">
        <f t="shared" si="98"/>
        <v>0</v>
      </c>
      <c r="BB147" s="141">
        <f t="shared" si="99"/>
        <v>0</v>
      </c>
      <c r="BC147" s="141">
        <f t="shared" si="100"/>
        <v>0</v>
      </c>
      <c r="BD147" s="141">
        <f t="shared" si="101"/>
        <v>0</v>
      </c>
      <c r="BE147" s="141">
        <f t="shared" si="102"/>
        <v>0</v>
      </c>
      <c r="BF147" s="141">
        <f t="shared" si="103"/>
        <v>0</v>
      </c>
      <c r="BG147" s="141">
        <f t="shared" si="80"/>
        <v>0</v>
      </c>
      <c r="BH147" s="141">
        <f t="shared" si="81"/>
        <v>0</v>
      </c>
      <c r="BI147" s="141">
        <f t="shared" si="104"/>
        <v>0</v>
      </c>
      <c r="BJ147" s="147">
        <f t="shared" si="82"/>
        <v>0</v>
      </c>
      <c r="BK147" s="141">
        <f t="shared" si="83"/>
        <v>0</v>
      </c>
      <c r="BL147" s="141">
        <f t="shared" si="84"/>
        <v>0</v>
      </c>
      <c r="BM147" s="141">
        <f t="shared" si="85"/>
        <v>0</v>
      </c>
      <c r="BN147" s="141">
        <f t="shared" si="86"/>
        <v>0</v>
      </c>
      <c r="BO147" s="141">
        <f t="shared" si="87"/>
        <v>0</v>
      </c>
      <c r="BP147" s="141">
        <f t="shared" si="88"/>
        <v>0</v>
      </c>
      <c r="BT147" s="177"/>
      <c r="BU147" s="173"/>
      <c r="BV147" s="174"/>
      <c r="BW147" s="117"/>
      <c r="BX147" s="180"/>
      <c r="BY147" s="117"/>
      <c r="BZ147" s="181"/>
      <c r="CA147" s="182"/>
      <c r="CB147" s="176"/>
      <c r="CC147" s="176"/>
      <c r="CF147" s="170"/>
      <c r="CG147" s="171"/>
      <c r="CH147" s="170"/>
      <c r="CI147" s="171"/>
    </row>
    <row r="148" spans="2:87" s="108" customFormat="1" hidden="1">
      <c r="B148" s="109"/>
      <c r="C148" s="141" t="e">
        <f t="shared" si="109"/>
        <v>#NUM!</v>
      </c>
      <c r="D148" s="141">
        <f t="shared" si="65"/>
        <v>0</v>
      </c>
      <c r="E148" s="141"/>
      <c r="F148" s="142">
        <f t="shared" si="89"/>
        <v>0</v>
      </c>
      <c r="G148" s="143" t="s">
        <v>146</v>
      </c>
      <c r="H148" s="80">
        <f t="shared" si="66"/>
        <v>0</v>
      </c>
      <c r="I148" s="80" t="str">
        <f t="shared" si="90"/>
        <v/>
      </c>
      <c r="J148" s="144"/>
      <c r="K148" s="144"/>
      <c r="L148" s="144"/>
      <c r="M148" s="76"/>
      <c r="N148" s="77"/>
      <c r="O148" s="145"/>
      <c r="P148" s="77">
        <f t="shared" si="91"/>
        <v>0</v>
      </c>
      <c r="Q148" s="78"/>
      <c r="R148" s="79"/>
      <c r="S148" s="146">
        <f t="shared" si="110"/>
        <v>0</v>
      </c>
      <c r="T148" s="141" t="b">
        <f t="shared" si="105"/>
        <v>0</v>
      </c>
      <c r="U148" s="649">
        <f t="shared" si="67"/>
        <v>0</v>
      </c>
      <c r="V148" s="650"/>
      <c r="W148" s="649">
        <f t="shared" si="68"/>
        <v>0</v>
      </c>
      <c r="X148" s="650"/>
      <c r="Y148" s="649">
        <f t="shared" si="69"/>
        <v>0</v>
      </c>
      <c r="Z148" s="650"/>
      <c r="AA148" s="649">
        <f t="shared" si="70"/>
        <v>0</v>
      </c>
      <c r="AB148" s="650"/>
      <c r="AC148" s="649">
        <f t="shared" si="71"/>
        <v>0</v>
      </c>
      <c r="AD148" s="650"/>
      <c r="AE148" s="649">
        <f t="shared" si="72"/>
        <v>0</v>
      </c>
      <c r="AF148" s="650"/>
      <c r="AG148" s="649">
        <f t="shared" si="73"/>
        <v>0</v>
      </c>
      <c r="AH148" s="650"/>
      <c r="AI148" s="649">
        <f t="shared" si="74"/>
        <v>0</v>
      </c>
      <c r="AJ148" s="650"/>
      <c r="AK148" s="649">
        <f t="shared" si="75"/>
        <v>0</v>
      </c>
      <c r="AL148" s="650"/>
      <c r="AM148" s="649">
        <f t="shared" si="76"/>
        <v>0</v>
      </c>
      <c r="AN148" s="650"/>
      <c r="AO148" s="649">
        <f t="shared" si="77"/>
        <v>0</v>
      </c>
      <c r="AP148" s="650"/>
      <c r="AQ148" s="649">
        <f t="shared" si="78"/>
        <v>0</v>
      </c>
      <c r="AR148" s="650"/>
      <c r="AS148" s="651">
        <f t="shared" si="79"/>
        <v>0</v>
      </c>
      <c r="AT148" s="652"/>
      <c r="AU148" s="141">
        <f t="shared" si="92"/>
        <v>0</v>
      </c>
      <c r="AV148" s="141">
        <f t="shared" si="93"/>
        <v>0</v>
      </c>
      <c r="AW148" s="141">
        <f t="shared" si="94"/>
        <v>0</v>
      </c>
      <c r="AX148" s="141">
        <f t="shared" si="95"/>
        <v>0</v>
      </c>
      <c r="AY148" s="141">
        <f t="shared" si="96"/>
        <v>0</v>
      </c>
      <c r="AZ148" s="141">
        <f t="shared" si="97"/>
        <v>0</v>
      </c>
      <c r="BA148" s="141">
        <f t="shared" si="98"/>
        <v>0</v>
      </c>
      <c r="BB148" s="141">
        <f t="shared" si="99"/>
        <v>0</v>
      </c>
      <c r="BC148" s="141">
        <f t="shared" si="100"/>
        <v>0</v>
      </c>
      <c r="BD148" s="141">
        <f t="shared" si="101"/>
        <v>0</v>
      </c>
      <c r="BE148" s="141">
        <f t="shared" si="102"/>
        <v>0</v>
      </c>
      <c r="BF148" s="141">
        <f t="shared" si="103"/>
        <v>0</v>
      </c>
      <c r="BG148" s="141">
        <f t="shared" si="80"/>
        <v>0</v>
      </c>
      <c r="BH148" s="141">
        <f t="shared" si="81"/>
        <v>0</v>
      </c>
      <c r="BI148" s="141">
        <f t="shared" si="104"/>
        <v>0</v>
      </c>
      <c r="BJ148" s="147">
        <f t="shared" si="82"/>
        <v>0</v>
      </c>
      <c r="BK148" s="141">
        <f t="shared" si="83"/>
        <v>0</v>
      </c>
      <c r="BL148" s="141">
        <f t="shared" si="84"/>
        <v>0</v>
      </c>
      <c r="BM148" s="141">
        <f t="shared" si="85"/>
        <v>0</v>
      </c>
      <c r="BN148" s="141">
        <f t="shared" si="86"/>
        <v>0</v>
      </c>
      <c r="BO148" s="141">
        <f t="shared" si="87"/>
        <v>0</v>
      </c>
      <c r="BP148" s="141">
        <f t="shared" si="88"/>
        <v>0</v>
      </c>
      <c r="BT148" s="177"/>
      <c r="BU148" s="173"/>
      <c r="BV148" s="174"/>
      <c r="BW148" s="117"/>
      <c r="BX148" s="180"/>
      <c r="BY148" s="117"/>
      <c r="BZ148" s="181"/>
      <c r="CA148" s="182"/>
      <c r="CB148" s="176"/>
      <c r="CC148" s="176"/>
      <c r="CF148" s="170"/>
      <c r="CG148" s="171"/>
      <c r="CH148" s="170"/>
      <c r="CI148" s="171"/>
    </row>
    <row r="149" spans="2:87" s="108" customFormat="1" hidden="1">
      <c r="B149" s="109"/>
      <c r="C149" s="141" t="e">
        <f t="shared" si="109"/>
        <v>#NUM!</v>
      </c>
      <c r="D149" s="141">
        <f t="shared" si="65"/>
        <v>0</v>
      </c>
      <c r="E149" s="141" t="str">
        <f>IFERROR(DGET($BV$30:$CC$82,F149,G148:G149),"")</f>
        <v/>
      </c>
      <c r="F149" s="142">
        <f t="shared" si="89"/>
        <v>0</v>
      </c>
      <c r="G149" s="142" t="b">
        <f>IF(Q149&gt;0,IF(AND(S149&gt;0,S149&lt;2),CONCATENATE(Q149," ","0-2"),IF(AND(S149&gt;=2,S149&lt;8),CONCATENATE(Q149," ","2-8"),)))</f>
        <v>0</v>
      </c>
      <c r="H149" s="80">
        <f t="shared" si="66"/>
        <v>0</v>
      </c>
      <c r="I149" s="80" t="str">
        <f t="shared" si="90"/>
        <v/>
      </c>
      <c r="J149" s="76"/>
      <c r="K149" s="76"/>
      <c r="L149" s="76"/>
      <c r="M149" s="80"/>
      <c r="N149" s="79"/>
      <c r="O149" s="148"/>
      <c r="P149" s="77">
        <f t="shared" si="91"/>
        <v>0</v>
      </c>
      <c r="Q149" s="81"/>
      <c r="R149" s="77"/>
      <c r="S149" s="146">
        <f t="shared" si="110"/>
        <v>0</v>
      </c>
      <c r="T149" s="141" t="b">
        <f t="shared" si="105"/>
        <v>0</v>
      </c>
      <c r="U149" s="649">
        <f t="shared" si="67"/>
        <v>0</v>
      </c>
      <c r="V149" s="650"/>
      <c r="W149" s="649">
        <f t="shared" si="68"/>
        <v>0</v>
      </c>
      <c r="X149" s="650"/>
      <c r="Y149" s="649">
        <f t="shared" si="69"/>
        <v>0</v>
      </c>
      <c r="Z149" s="650"/>
      <c r="AA149" s="649">
        <f t="shared" si="70"/>
        <v>0</v>
      </c>
      <c r="AB149" s="650"/>
      <c r="AC149" s="649">
        <f t="shared" si="71"/>
        <v>0</v>
      </c>
      <c r="AD149" s="650"/>
      <c r="AE149" s="649">
        <f t="shared" si="72"/>
        <v>0</v>
      </c>
      <c r="AF149" s="650"/>
      <c r="AG149" s="649">
        <f t="shared" si="73"/>
        <v>0</v>
      </c>
      <c r="AH149" s="650"/>
      <c r="AI149" s="649">
        <f t="shared" si="74"/>
        <v>0</v>
      </c>
      <c r="AJ149" s="650"/>
      <c r="AK149" s="649">
        <f t="shared" si="75"/>
        <v>0</v>
      </c>
      <c r="AL149" s="650"/>
      <c r="AM149" s="649">
        <f t="shared" si="76"/>
        <v>0</v>
      </c>
      <c r="AN149" s="650"/>
      <c r="AO149" s="649">
        <f t="shared" si="77"/>
        <v>0</v>
      </c>
      <c r="AP149" s="650"/>
      <c r="AQ149" s="649">
        <f t="shared" si="78"/>
        <v>0</v>
      </c>
      <c r="AR149" s="650"/>
      <c r="AS149" s="651">
        <f t="shared" si="79"/>
        <v>0</v>
      </c>
      <c r="AT149" s="652"/>
      <c r="AU149" s="141">
        <f t="shared" si="92"/>
        <v>0</v>
      </c>
      <c r="AV149" s="141">
        <f t="shared" si="93"/>
        <v>0</v>
      </c>
      <c r="AW149" s="141">
        <f t="shared" si="94"/>
        <v>0</v>
      </c>
      <c r="AX149" s="141">
        <f t="shared" si="95"/>
        <v>0</v>
      </c>
      <c r="AY149" s="141">
        <f t="shared" si="96"/>
        <v>0</v>
      </c>
      <c r="AZ149" s="141">
        <f t="shared" si="97"/>
        <v>0</v>
      </c>
      <c r="BA149" s="141">
        <f t="shared" si="98"/>
        <v>0</v>
      </c>
      <c r="BB149" s="141">
        <f t="shared" si="99"/>
        <v>0</v>
      </c>
      <c r="BC149" s="141">
        <f t="shared" si="100"/>
        <v>0</v>
      </c>
      <c r="BD149" s="141">
        <f t="shared" si="101"/>
        <v>0</v>
      </c>
      <c r="BE149" s="141">
        <f t="shared" si="102"/>
        <v>0</v>
      </c>
      <c r="BF149" s="141">
        <f t="shared" si="103"/>
        <v>0</v>
      </c>
      <c r="BG149" s="141">
        <f t="shared" si="80"/>
        <v>0</v>
      </c>
      <c r="BH149" s="141">
        <f t="shared" si="81"/>
        <v>0</v>
      </c>
      <c r="BI149" s="141">
        <f t="shared" si="104"/>
        <v>0</v>
      </c>
      <c r="BJ149" s="147">
        <f t="shared" si="82"/>
        <v>0</v>
      </c>
      <c r="BK149" s="141">
        <f t="shared" si="83"/>
        <v>0</v>
      </c>
      <c r="BL149" s="141">
        <f t="shared" si="84"/>
        <v>0</v>
      </c>
      <c r="BM149" s="141">
        <f t="shared" si="85"/>
        <v>0</v>
      </c>
      <c r="BN149" s="141">
        <f t="shared" si="86"/>
        <v>0</v>
      </c>
      <c r="BO149" s="141">
        <f t="shared" si="87"/>
        <v>0</v>
      </c>
      <c r="BP149" s="141">
        <f t="shared" si="88"/>
        <v>0</v>
      </c>
      <c r="BT149" s="177"/>
      <c r="BU149" s="173"/>
      <c r="BV149" s="174"/>
      <c r="BW149" s="117"/>
      <c r="BX149" s="180"/>
      <c r="BY149" s="117"/>
      <c r="BZ149" s="181"/>
      <c r="CA149" s="182"/>
      <c r="CB149" s="176"/>
      <c r="CC149" s="176"/>
      <c r="CF149" s="170"/>
      <c r="CG149" s="171"/>
      <c r="CH149" s="170"/>
      <c r="CI149" s="171"/>
    </row>
    <row r="150" spans="2:87" s="108" customFormat="1" hidden="1">
      <c r="B150" s="109"/>
      <c r="C150" s="141" t="e">
        <f t="shared" si="109"/>
        <v>#NUM!</v>
      </c>
      <c r="D150" s="141">
        <f t="shared" si="65"/>
        <v>0</v>
      </c>
      <c r="E150" s="141"/>
      <c r="F150" s="142">
        <f t="shared" si="89"/>
        <v>0</v>
      </c>
      <c r="G150" s="143" t="s">
        <v>146</v>
      </c>
      <c r="H150" s="80">
        <f t="shared" si="66"/>
        <v>0</v>
      </c>
      <c r="I150" s="80" t="str">
        <f t="shared" si="90"/>
        <v/>
      </c>
      <c r="J150" s="144"/>
      <c r="K150" s="144"/>
      <c r="L150" s="144"/>
      <c r="M150" s="76"/>
      <c r="N150" s="77"/>
      <c r="O150" s="145"/>
      <c r="P150" s="77">
        <f t="shared" si="91"/>
        <v>0</v>
      </c>
      <c r="Q150" s="78"/>
      <c r="R150" s="79"/>
      <c r="S150" s="146">
        <f t="shared" si="110"/>
        <v>0</v>
      </c>
      <c r="T150" s="141" t="b">
        <f t="shared" si="105"/>
        <v>0</v>
      </c>
      <c r="U150" s="649">
        <f t="shared" si="67"/>
        <v>0</v>
      </c>
      <c r="V150" s="650"/>
      <c r="W150" s="649">
        <f t="shared" si="68"/>
        <v>0</v>
      </c>
      <c r="X150" s="650"/>
      <c r="Y150" s="649">
        <f t="shared" si="69"/>
        <v>0</v>
      </c>
      <c r="Z150" s="650"/>
      <c r="AA150" s="649">
        <f t="shared" si="70"/>
        <v>0</v>
      </c>
      <c r="AB150" s="650"/>
      <c r="AC150" s="649">
        <f t="shared" si="71"/>
        <v>0</v>
      </c>
      <c r="AD150" s="650"/>
      <c r="AE150" s="649">
        <f t="shared" si="72"/>
        <v>0</v>
      </c>
      <c r="AF150" s="650"/>
      <c r="AG150" s="649">
        <f t="shared" si="73"/>
        <v>0</v>
      </c>
      <c r="AH150" s="650"/>
      <c r="AI150" s="649">
        <f t="shared" si="74"/>
        <v>0</v>
      </c>
      <c r="AJ150" s="650"/>
      <c r="AK150" s="649">
        <f t="shared" si="75"/>
        <v>0</v>
      </c>
      <c r="AL150" s="650"/>
      <c r="AM150" s="649">
        <f t="shared" si="76"/>
        <v>0</v>
      </c>
      <c r="AN150" s="650"/>
      <c r="AO150" s="649">
        <f t="shared" si="77"/>
        <v>0</v>
      </c>
      <c r="AP150" s="650"/>
      <c r="AQ150" s="649">
        <f t="shared" si="78"/>
        <v>0</v>
      </c>
      <c r="AR150" s="650"/>
      <c r="AS150" s="651">
        <f t="shared" si="79"/>
        <v>0</v>
      </c>
      <c r="AT150" s="652"/>
      <c r="AU150" s="141">
        <f t="shared" si="92"/>
        <v>0</v>
      </c>
      <c r="AV150" s="141">
        <f t="shared" si="93"/>
        <v>0</v>
      </c>
      <c r="AW150" s="141">
        <f t="shared" si="94"/>
        <v>0</v>
      </c>
      <c r="AX150" s="141">
        <f t="shared" si="95"/>
        <v>0</v>
      </c>
      <c r="AY150" s="141">
        <f t="shared" si="96"/>
        <v>0</v>
      </c>
      <c r="AZ150" s="141">
        <f t="shared" si="97"/>
        <v>0</v>
      </c>
      <c r="BA150" s="141">
        <f t="shared" si="98"/>
        <v>0</v>
      </c>
      <c r="BB150" s="141">
        <f t="shared" si="99"/>
        <v>0</v>
      </c>
      <c r="BC150" s="141">
        <f t="shared" si="100"/>
        <v>0</v>
      </c>
      <c r="BD150" s="141">
        <f t="shared" si="101"/>
        <v>0</v>
      </c>
      <c r="BE150" s="141">
        <f t="shared" si="102"/>
        <v>0</v>
      </c>
      <c r="BF150" s="141">
        <f t="shared" si="103"/>
        <v>0</v>
      </c>
      <c r="BG150" s="141">
        <f t="shared" si="80"/>
        <v>0</v>
      </c>
      <c r="BH150" s="141">
        <f t="shared" si="81"/>
        <v>0</v>
      </c>
      <c r="BI150" s="141">
        <f t="shared" si="104"/>
        <v>0</v>
      </c>
      <c r="BJ150" s="147">
        <f t="shared" si="82"/>
        <v>0</v>
      </c>
      <c r="BK150" s="141">
        <f t="shared" si="83"/>
        <v>0</v>
      </c>
      <c r="BL150" s="141">
        <f t="shared" si="84"/>
        <v>0</v>
      </c>
      <c r="BM150" s="141">
        <f t="shared" si="85"/>
        <v>0</v>
      </c>
      <c r="BN150" s="141">
        <f t="shared" si="86"/>
        <v>0</v>
      </c>
      <c r="BO150" s="141">
        <f t="shared" si="87"/>
        <v>0</v>
      </c>
      <c r="BP150" s="141">
        <f t="shared" si="88"/>
        <v>0</v>
      </c>
      <c r="BT150" s="177"/>
      <c r="BU150" s="173"/>
      <c r="BV150" s="174"/>
      <c r="BW150" s="117"/>
      <c r="BX150" s="180"/>
      <c r="BY150" s="117"/>
      <c r="BZ150" s="181"/>
      <c r="CA150" s="182"/>
      <c r="CB150" s="176"/>
      <c r="CC150" s="176"/>
      <c r="CF150" s="170"/>
      <c r="CG150" s="171"/>
      <c r="CH150" s="170"/>
      <c r="CI150" s="171"/>
    </row>
    <row r="151" spans="2:87" s="108" customFormat="1" hidden="1">
      <c r="B151" s="109"/>
      <c r="C151" s="141" t="e">
        <f t="shared" si="109"/>
        <v>#NUM!</v>
      </c>
      <c r="D151" s="141">
        <f t="shared" si="65"/>
        <v>0</v>
      </c>
      <c r="E151" s="141" t="str">
        <f>IFERROR(DGET($BV$30:$CC$82,F151,G150:G151),"")</f>
        <v/>
      </c>
      <c r="F151" s="142">
        <f t="shared" si="89"/>
        <v>0</v>
      </c>
      <c r="G151" s="142" t="b">
        <f>IF(Q151&gt;0,IF(AND(S151&gt;0,S151&lt;2),CONCATENATE(Q151," ","0-2"),IF(AND(S151&gt;=2,S151&lt;8),CONCATENATE(Q151," ","2-8"),)))</f>
        <v>0</v>
      </c>
      <c r="H151" s="80">
        <f t="shared" si="66"/>
        <v>0</v>
      </c>
      <c r="I151" s="80" t="str">
        <f t="shared" si="90"/>
        <v/>
      </c>
      <c r="J151" s="76"/>
      <c r="K151" s="76"/>
      <c r="L151" s="76"/>
      <c r="M151" s="80"/>
      <c r="N151" s="79"/>
      <c r="O151" s="148"/>
      <c r="P151" s="77">
        <f t="shared" si="91"/>
        <v>0</v>
      </c>
      <c r="Q151" s="81"/>
      <c r="R151" s="77"/>
      <c r="S151" s="146">
        <f t="shared" si="110"/>
        <v>0</v>
      </c>
      <c r="T151" s="141" t="b">
        <f t="shared" si="105"/>
        <v>0</v>
      </c>
      <c r="U151" s="649">
        <f t="shared" si="67"/>
        <v>0</v>
      </c>
      <c r="V151" s="650"/>
      <c r="W151" s="649">
        <f t="shared" si="68"/>
        <v>0</v>
      </c>
      <c r="X151" s="650"/>
      <c r="Y151" s="649">
        <f t="shared" si="69"/>
        <v>0</v>
      </c>
      <c r="Z151" s="650"/>
      <c r="AA151" s="649">
        <f t="shared" si="70"/>
        <v>0</v>
      </c>
      <c r="AB151" s="650"/>
      <c r="AC151" s="649">
        <f t="shared" si="71"/>
        <v>0</v>
      </c>
      <c r="AD151" s="650"/>
      <c r="AE151" s="649">
        <f t="shared" si="72"/>
        <v>0</v>
      </c>
      <c r="AF151" s="650"/>
      <c r="AG151" s="649">
        <f t="shared" si="73"/>
        <v>0</v>
      </c>
      <c r="AH151" s="650"/>
      <c r="AI151" s="649">
        <f t="shared" si="74"/>
        <v>0</v>
      </c>
      <c r="AJ151" s="650"/>
      <c r="AK151" s="649">
        <f t="shared" si="75"/>
        <v>0</v>
      </c>
      <c r="AL151" s="650"/>
      <c r="AM151" s="649">
        <f t="shared" si="76"/>
        <v>0</v>
      </c>
      <c r="AN151" s="650"/>
      <c r="AO151" s="649">
        <f t="shared" si="77"/>
        <v>0</v>
      </c>
      <c r="AP151" s="650"/>
      <c r="AQ151" s="649">
        <f t="shared" si="78"/>
        <v>0</v>
      </c>
      <c r="AR151" s="650"/>
      <c r="AS151" s="651">
        <f t="shared" si="79"/>
        <v>0</v>
      </c>
      <c r="AT151" s="652"/>
      <c r="AU151" s="141">
        <f t="shared" si="92"/>
        <v>0</v>
      </c>
      <c r="AV151" s="141">
        <f t="shared" si="93"/>
        <v>0</v>
      </c>
      <c r="AW151" s="141">
        <f t="shared" si="94"/>
        <v>0</v>
      </c>
      <c r="AX151" s="141">
        <f t="shared" si="95"/>
        <v>0</v>
      </c>
      <c r="AY151" s="141">
        <f t="shared" si="96"/>
        <v>0</v>
      </c>
      <c r="AZ151" s="141">
        <f t="shared" si="97"/>
        <v>0</v>
      </c>
      <c r="BA151" s="141">
        <f t="shared" si="98"/>
        <v>0</v>
      </c>
      <c r="BB151" s="141">
        <f t="shared" si="99"/>
        <v>0</v>
      </c>
      <c r="BC151" s="141">
        <f t="shared" si="100"/>
        <v>0</v>
      </c>
      <c r="BD151" s="141">
        <f t="shared" si="101"/>
        <v>0</v>
      </c>
      <c r="BE151" s="141">
        <f t="shared" si="102"/>
        <v>0</v>
      </c>
      <c r="BF151" s="141">
        <f t="shared" si="103"/>
        <v>0</v>
      </c>
      <c r="BG151" s="141">
        <f t="shared" si="80"/>
        <v>0</v>
      </c>
      <c r="BH151" s="141">
        <f t="shared" si="81"/>
        <v>0</v>
      </c>
      <c r="BI151" s="141">
        <f t="shared" si="104"/>
        <v>0</v>
      </c>
      <c r="BJ151" s="147">
        <f t="shared" si="82"/>
        <v>0</v>
      </c>
      <c r="BK151" s="141">
        <f t="shared" si="83"/>
        <v>0</v>
      </c>
      <c r="BL151" s="141">
        <f t="shared" si="84"/>
        <v>0</v>
      </c>
      <c r="BM151" s="141">
        <f t="shared" si="85"/>
        <v>0</v>
      </c>
      <c r="BN151" s="141">
        <f t="shared" si="86"/>
        <v>0</v>
      </c>
      <c r="BO151" s="141">
        <f t="shared" si="87"/>
        <v>0</v>
      </c>
      <c r="BP151" s="141">
        <f t="shared" si="88"/>
        <v>0</v>
      </c>
      <c r="BT151" s="177"/>
      <c r="BU151" s="173"/>
      <c r="BV151" s="174"/>
      <c r="BW151" s="117"/>
      <c r="BX151" s="180"/>
      <c r="BY151" s="117"/>
      <c r="BZ151" s="181"/>
      <c r="CA151" s="182"/>
      <c r="CB151" s="176"/>
      <c r="CC151" s="176"/>
      <c r="CF151" s="170"/>
      <c r="CG151" s="171"/>
      <c r="CH151" s="170"/>
      <c r="CI151" s="171"/>
    </row>
    <row r="152" spans="2:87" s="108" customFormat="1" hidden="1">
      <c r="B152" s="109"/>
      <c r="C152" s="141" t="e">
        <f t="shared" si="109"/>
        <v>#NUM!</v>
      </c>
      <c r="D152" s="141">
        <f t="shared" si="65"/>
        <v>0</v>
      </c>
      <c r="E152" s="141"/>
      <c r="F152" s="142">
        <f t="shared" si="89"/>
        <v>0</v>
      </c>
      <c r="G152" s="143" t="s">
        <v>146</v>
      </c>
      <c r="H152" s="80">
        <f t="shared" si="66"/>
        <v>0</v>
      </c>
      <c r="I152" s="80" t="str">
        <f t="shared" si="90"/>
        <v/>
      </c>
      <c r="J152" s="144"/>
      <c r="K152" s="144"/>
      <c r="L152" s="144"/>
      <c r="M152" s="76"/>
      <c r="N152" s="77"/>
      <c r="O152" s="145"/>
      <c r="P152" s="77">
        <f t="shared" si="91"/>
        <v>0</v>
      </c>
      <c r="Q152" s="78"/>
      <c r="R152" s="79"/>
      <c r="S152" s="146">
        <f t="shared" si="110"/>
        <v>0</v>
      </c>
      <c r="T152" s="141" t="b">
        <f t="shared" si="105"/>
        <v>0</v>
      </c>
      <c r="U152" s="649">
        <f t="shared" si="67"/>
        <v>0</v>
      </c>
      <c r="V152" s="650"/>
      <c r="W152" s="649">
        <f t="shared" si="68"/>
        <v>0</v>
      </c>
      <c r="X152" s="650"/>
      <c r="Y152" s="649">
        <f t="shared" si="69"/>
        <v>0</v>
      </c>
      <c r="Z152" s="650"/>
      <c r="AA152" s="649">
        <f t="shared" si="70"/>
        <v>0</v>
      </c>
      <c r="AB152" s="650"/>
      <c r="AC152" s="649">
        <f t="shared" si="71"/>
        <v>0</v>
      </c>
      <c r="AD152" s="650"/>
      <c r="AE152" s="649">
        <f t="shared" si="72"/>
        <v>0</v>
      </c>
      <c r="AF152" s="650"/>
      <c r="AG152" s="649">
        <f t="shared" si="73"/>
        <v>0</v>
      </c>
      <c r="AH152" s="650"/>
      <c r="AI152" s="649">
        <f t="shared" si="74"/>
        <v>0</v>
      </c>
      <c r="AJ152" s="650"/>
      <c r="AK152" s="649">
        <f t="shared" si="75"/>
        <v>0</v>
      </c>
      <c r="AL152" s="650"/>
      <c r="AM152" s="649">
        <f t="shared" si="76"/>
        <v>0</v>
      </c>
      <c r="AN152" s="650"/>
      <c r="AO152" s="649">
        <f t="shared" si="77"/>
        <v>0</v>
      </c>
      <c r="AP152" s="650"/>
      <c r="AQ152" s="649">
        <f t="shared" si="78"/>
        <v>0</v>
      </c>
      <c r="AR152" s="650"/>
      <c r="AS152" s="651">
        <f t="shared" si="79"/>
        <v>0</v>
      </c>
      <c r="AT152" s="652"/>
      <c r="AU152" s="141">
        <f t="shared" si="92"/>
        <v>0</v>
      </c>
      <c r="AV152" s="141">
        <f t="shared" si="93"/>
        <v>0</v>
      </c>
      <c r="AW152" s="141">
        <f t="shared" si="94"/>
        <v>0</v>
      </c>
      <c r="AX152" s="141">
        <f t="shared" si="95"/>
        <v>0</v>
      </c>
      <c r="AY152" s="141">
        <f t="shared" si="96"/>
        <v>0</v>
      </c>
      <c r="AZ152" s="141">
        <f t="shared" si="97"/>
        <v>0</v>
      </c>
      <c r="BA152" s="141">
        <f t="shared" si="98"/>
        <v>0</v>
      </c>
      <c r="BB152" s="141">
        <f t="shared" si="99"/>
        <v>0</v>
      </c>
      <c r="BC152" s="141">
        <f t="shared" si="100"/>
        <v>0</v>
      </c>
      <c r="BD152" s="141">
        <f t="shared" si="101"/>
        <v>0</v>
      </c>
      <c r="BE152" s="141">
        <f t="shared" si="102"/>
        <v>0</v>
      </c>
      <c r="BF152" s="141">
        <f t="shared" si="103"/>
        <v>0</v>
      </c>
      <c r="BG152" s="141">
        <f t="shared" si="80"/>
        <v>0</v>
      </c>
      <c r="BH152" s="141">
        <f t="shared" si="81"/>
        <v>0</v>
      </c>
      <c r="BI152" s="141">
        <f t="shared" si="104"/>
        <v>0</v>
      </c>
      <c r="BJ152" s="147">
        <f t="shared" si="82"/>
        <v>0</v>
      </c>
      <c r="BK152" s="141">
        <f t="shared" si="83"/>
        <v>0</v>
      </c>
      <c r="BL152" s="141">
        <f t="shared" si="84"/>
        <v>0</v>
      </c>
      <c r="BM152" s="141">
        <f t="shared" si="85"/>
        <v>0</v>
      </c>
      <c r="BN152" s="141">
        <f t="shared" si="86"/>
        <v>0</v>
      </c>
      <c r="BO152" s="141">
        <f t="shared" si="87"/>
        <v>0</v>
      </c>
      <c r="BP152" s="141">
        <f t="shared" si="88"/>
        <v>0</v>
      </c>
      <c r="BT152" s="177"/>
      <c r="BU152" s="173"/>
      <c r="BV152" s="174"/>
      <c r="BW152" s="117"/>
      <c r="BX152" s="180"/>
      <c r="BY152" s="117"/>
      <c r="BZ152" s="181"/>
      <c r="CA152" s="182"/>
      <c r="CB152" s="176"/>
      <c r="CC152" s="176"/>
      <c r="CF152" s="170"/>
      <c r="CG152" s="171"/>
      <c r="CH152" s="170"/>
      <c r="CI152" s="171"/>
    </row>
    <row r="153" spans="2:87" s="108" customFormat="1" hidden="1">
      <c r="B153" s="109"/>
      <c r="C153" s="141" t="e">
        <f t="shared" si="109"/>
        <v>#NUM!</v>
      </c>
      <c r="D153" s="141">
        <f t="shared" si="65"/>
        <v>0</v>
      </c>
      <c r="E153" s="141" t="str">
        <f>IFERROR(DGET($BV$30:$CC$82,F153,G152:G153),"")</f>
        <v/>
      </c>
      <c r="F153" s="142">
        <f t="shared" si="89"/>
        <v>0</v>
      </c>
      <c r="G153" s="142" t="b">
        <f>IF(Q153&gt;0,IF(AND(S153&gt;0,S153&lt;2),CONCATENATE(Q153," ","0-2"),IF(AND(S153&gt;=2,S153&lt;8),CONCATENATE(Q153," ","2-8"),)))</f>
        <v>0</v>
      </c>
      <c r="H153" s="80">
        <f t="shared" si="66"/>
        <v>0</v>
      </c>
      <c r="I153" s="80" t="str">
        <f t="shared" si="90"/>
        <v/>
      </c>
      <c r="J153" s="76"/>
      <c r="K153" s="76"/>
      <c r="L153" s="76"/>
      <c r="M153" s="80"/>
      <c r="N153" s="79"/>
      <c r="O153" s="148"/>
      <c r="P153" s="77">
        <f t="shared" si="91"/>
        <v>0</v>
      </c>
      <c r="Q153" s="81"/>
      <c r="R153" s="77"/>
      <c r="S153" s="146">
        <f t="shared" si="110"/>
        <v>0</v>
      </c>
      <c r="T153" s="141" t="b">
        <f t="shared" si="105"/>
        <v>0</v>
      </c>
      <c r="U153" s="649">
        <f t="shared" si="67"/>
        <v>0</v>
      </c>
      <c r="V153" s="650"/>
      <c r="W153" s="649">
        <f t="shared" si="68"/>
        <v>0</v>
      </c>
      <c r="X153" s="650"/>
      <c r="Y153" s="649">
        <f t="shared" si="69"/>
        <v>0</v>
      </c>
      <c r="Z153" s="650"/>
      <c r="AA153" s="649">
        <f t="shared" si="70"/>
        <v>0</v>
      </c>
      <c r="AB153" s="650"/>
      <c r="AC153" s="649">
        <f t="shared" si="71"/>
        <v>0</v>
      </c>
      <c r="AD153" s="650"/>
      <c r="AE153" s="649">
        <f t="shared" si="72"/>
        <v>0</v>
      </c>
      <c r="AF153" s="650"/>
      <c r="AG153" s="649">
        <f t="shared" si="73"/>
        <v>0</v>
      </c>
      <c r="AH153" s="650"/>
      <c r="AI153" s="649">
        <f t="shared" si="74"/>
        <v>0</v>
      </c>
      <c r="AJ153" s="650"/>
      <c r="AK153" s="649">
        <f t="shared" si="75"/>
        <v>0</v>
      </c>
      <c r="AL153" s="650"/>
      <c r="AM153" s="649">
        <f t="shared" si="76"/>
        <v>0</v>
      </c>
      <c r="AN153" s="650"/>
      <c r="AO153" s="649">
        <f t="shared" si="77"/>
        <v>0</v>
      </c>
      <c r="AP153" s="650"/>
      <c r="AQ153" s="649">
        <f t="shared" si="78"/>
        <v>0</v>
      </c>
      <c r="AR153" s="650"/>
      <c r="AS153" s="651">
        <f t="shared" si="79"/>
        <v>0</v>
      </c>
      <c r="AT153" s="652"/>
      <c r="AU153" s="141">
        <f t="shared" si="92"/>
        <v>0</v>
      </c>
      <c r="AV153" s="141">
        <f t="shared" si="93"/>
        <v>0</v>
      </c>
      <c r="AW153" s="141">
        <f t="shared" si="94"/>
        <v>0</v>
      </c>
      <c r="AX153" s="141">
        <f t="shared" si="95"/>
        <v>0</v>
      </c>
      <c r="AY153" s="141">
        <f t="shared" si="96"/>
        <v>0</v>
      </c>
      <c r="AZ153" s="141">
        <f t="shared" si="97"/>
        <v>0</v>
      </c>
      <c r="BA153" s="141">
        <f t="shared" si="98"/>
        <v>0</v>
      </c>
      <c r="BB153" s="141">
        <f t="shared" si="99"/>
        <v>0</v>
      </c>
      <c r="BC153" s="141">
        <f t="shared" si="100"/>
        <v>0</v>
      </c>
      <c r="BD153" s="141">
        <f t="shared" si="101"/>
        <v>0</v>
      </c>
      <c r="BE153" s="141">
        <f t="shared" si="102"/>
        <v>0</v>
      </c>
      <c r="BF153" s="141">
        <f t="shared" si="103"/>
        <v>0</v>
      </c>
      <c r="BG153" s="141">
        <f t="shared" si="80"/>
        <v>0</v>
      </c>
      <c r="BH153" s="141">
        <f t="shared" si="81"/>
        <v>0</v>
      </c>
      <c r="BI153" s="141">
        <f t="shared" si="104"/>
        <v>0</v>
      </c>
      <c r="BJ153" s="147">
        <f t="shared" si="82"/>
        <v>0</v>
      </c>
      <c r="BK153" s="141">
        <f t="shared" si="83"/>
        <v>0</v>
      </c>
      <c r="BL153" s="141">
        <f t="shared" si="84"/>
        <v>0</v>
      </c>
      <c r="BM153" s="141">
        <f t="shared" si="85"/>
        <v>0</v>
      </c>
      <c r="BN153" s="141">
        <f t="shared" si="86"/>
        <v>0</v>
      </c>
      <c r="BO153" s="141">
        <f t="shared" si="87"/>
        <v>0</v>
      </c>
      <c r="BP153" s="141">
        <f t="shared" si="88"/>
        <v>0</v>
      </c>
      <c r="BT153" s="177"/>
      <c r="BU153" s="173"/>
      <c r="BV153" s="174"/>
      <c r="BW153" s="117"/>
      <c r="BX153" s="180"/>
      <c r="BY153" s="117"/>
      <c r="BZ153" s="181"/>
      <c r="CA153" s="182"/>
      <c r="CB153" s="176"/>
      <c r="CC153" s="176"/>
      <c r="CF153" s="170"/>
      <c r="CG153" s="171"/>
      <c r="CH153" s="170"/>
      <c r="CI153" s="171"/>
    </row>
    <row r="154" spans="2:87" s="108" customFormat="1" hidden="1">
      <c r="B154" s="109"/>
      <c r="C154" s="141" t="e">
        <f t="shared" si="109"/>
        <v>#NUM!</v>
      </c>
      <c r="D154" s="141">
        <f t="shared" si="65"/>
        <v>0</v>
      </c>
      <c r="E154" s="141"/>
      <c r="F154" s="142">
        <f t="shared" si="89"/>
        <v>0</v>
      </c>
      <c r="G154" s="143" t="s">
        <v>146</v>
      </c>
      <c r="H154" s="80">
        <f t="shared" si="66"/>
        <v>0</v>
      </c>
      <c r="I154" s="80" t="str">
        <f t="shared" si="90"/>
        <v/>
      </c>
      <c r="J154" s="144"/>
      <c r="K154" s="144"/>
      <c r="L154" s="144"/>
      <c r="M154" s="76"/>
      <c r="N154" s="77"/>
      <c r="O154" s="145"/>
      <c r="P154" s="77">
        <f t="shared" si="91"/>
        <v>0</v>
      </c>
      <c r="Q154" s="78"/>
      <c r="R154" s="79"/>
      <c r="S154" s="146">
        <f t="shared" si="110"/>
        <v>0</v>
      </c>
      <c r="T154" s="141" t="b">
        <f t="shared" si="105"/>
        <v>0</v>
      </c>
      <c r="U154" s="649">
        <f t="shared" si="67"/>
        <v>0</v>
      </c>
      <c r="V154" s="650"/>
      <c r="W154" s="649">
        <f t="shared" si="68"/>
        <v>0</v>
      </c>
      <c r="X154" s="650"/>
      <c r="Y154" s="649">
        <f t="shared" si="69"/>
        <v>0</v>
      </c>
      <c r="Z154" s="650"/>
      <c r="AA154" s="649">
        <f t="shared" si="70"/>
        <v>0</v>
      </c>
      <c r="AB154" s="650"/>
      <c r="AC154" s="649">
        <f t="shared" si="71"/>
        <v>0</v>
      </c>
      <c r="AD154" s="650"/>
      <c r="AE154" s="649">
        <f t="shared" si="72"/>
        <v>0</v>
      </c>
      <c r="AF154" s="650"/>
      <c r="AG154" s="649">
        <f t="shared" si="73"/>
        <v>0</v>
      </c>
      <c r="AH154" s="650"/>
      <c r="AI154" s="649">
        <f t="shared" si="74"/>
        <v>0</v>
      </c>
      <c r="AJ154" s="650"/>
      <c r="AK154" s="649">
        <f t="shared" si="75"/>
        <v>0</v>
      </c>
      <c r="AL154" s="650"/>
      <c r="AM154" s="649">
        <f t="shared" si="76"/>
        <v>0</v>
      </c>
      <c r="AN154" s="650"/>
      <c r="AO154" s="649">
        <f t="shared" si="77"/>
        <v>0</v>
      </c>
      <c r="AP154" s="650"/>
      <c r="AQ154" s="649">
        <f t="shared" si="78"/>
        <v>0</v>
      </c>
      <c r="AR154" s="650"/>
      <c r="AS154" s="651">
        <f t="shared" si="79"/>
        <v>0</v>
      </c>
      <c r="AT154" s="652"/>
      <c r="AU154" s="141">
        <f t="shared" si="92"/>
        <v>0</v>
      </c>
      <c r="AV154" s="141">
        <f t="shared" si="93"/>
        <v>0</v>
      </c>
      <c r="AW154" s="141">
        <f t="shared" si="94"/>
        <v>0</v>
      </c>
      <c r="AX154" s="141">
        <f t="shared" si="95"/>
        <v>0</v>
      </c>
      <c r="AY154" s="141">
        <f t="shared" si="96"/>
        <v>0</v>
      </c>
      <c r="AZ154" s="141">
        <f t="shared" si="97"/>
        <v>0</v>
      </c>
      <c r="BA154" s="141">
        <f t="shared" si="98"/>
        <v>0</v>
      </c>
      <c r="BB154" s="141">
        <f t="shared" si="99"/>
        <v>0</v>
      </c>
      <c r="BC154" s="141">
        <f t="shared" si="100"/>
        <v>0</v>
      </c>
      <c r="BD154" s="141">
        <f t="shared" si="101"/>
        <v>0</v>
      </c>
      <c r="BE154" s="141">
        <f t="shared" si="102"/>
        <v>0</v>
      </c>
      <c r="BF154" s="141">
        <f t="shared" si="103"/>
        <v>0</v>
      </c>
      <c r="BG154" s="141">
        <f t="shared" si="80"/>
        <v>0</v>
      </c>
      <c r="BH154" s="141">
        <f t="shared" si="81"/>
        <v>0</v>
      </c>
      <c r="BI154" s="141">
        <f t="shared" si="104"/>
        <v>0</v>
      </c>
      <c r="BJ154" s="147">
        <f t="shared" si="82"/>
        <v>0</v>
      </c>
      <c r="BK154" s="141">
        <f t="shared" si="83"/>
        <v>0</v>
      </c>
      <c r="BL154" s="141">
        <f t="shared" si="84"/>
        <v>0</v>
      </c>
      <c r="BM154" s="141">
        <f t="shared" si="85"/>
        <v>0</v>
      </c>
      <c r="BN154" s="141">
        <f t="shared" si="86"/>
        <v>0</v>
      </c>
      <c r="BO154" s="141">
        <f t="shared" si="87"/>
        <v>0</v>
      </c>
      <c r="BP154" s="141">
        <f t="shared" si="88"/>
        <v>0</v>
      </c>
      <c r="BT154" s="177"/>
      <c r="BU154" s="173"/>
      <c r="BV154" s="174"/>
      <c r="BW154" s="117"/>
      <c r="BX154" s="180"/>
      <c r="BY154" s="117"/>
      <c r="BZ154" s="181"/>
      <c r="CA154" s="182"/>
      <c r="CB154" s="176"/>
      <c r="CC154" s="176"/>
      <c r="CF154" s="170"/>
      <c r="CG154" s="171"/>
      <c r="CH154" s="170"/>
      <c r="CI154" s="171"/>
    </row>
    <row r="155" spans="2:87" s="108" customFormat="1" hidden="1">
      <c r="B155" s="109"/>
      <c r="C155" s="141" t="e">
        <f t="shared" si="109"/>
        <v>#NUM!</v>
      </c>
      <c r="D155" s="141">
        <f t="shared" si="65"/>
        <v>0</v>
      </c>
      <c r="E155" s="141" t="str">
        <f>IFERROR(DGET($BV$30:$CC$82,F155,G154:G155),"")</f>
        <v/>
      </c>
      <c r="F155" s="142">
        <f t="shared" si="89"/>
        <v>0</v>
      </c>
      <c r="G155" s="142" t="b">
        <f>IF(Q155&gt;0,IF(AND(S155&gt;0,S155&lt;2),CONCATENATE(Q155," ","0-2"),IF(AND(S155&gt;=2,S155&lt;8),CONCATENATE(Q155," ","2-8"),)))</f>
        <v>0</v>
      </c>
      <c r="H155" s="80">
        <f t="shared" si="66"/>
        <v>0</v>
      </c>
      <c r="I155" s="80" t="str">
        <f t="shared" si="90"/>
        <v/>
      </c>
      <c r="J155" s="76"/>
      <c r="K155" s="76"/>
      <c r="L155" s="76"/>
      <c r="M155" s="80"/>
      <c r="N155" s="79"/>
      <c r="O155" s="148"/>
      <c r="P155" s="77">
        <f t="shared" si="91"/>
        <v>0</v>
      </c>
      <c r="Q155" s="81"/>
      <c r="R155" s="77"/>
      <c r="S155" s="146">
        <f t="shared" si="110"/>
        <v>0</v>
      </c>
      <c r="T155" s="141" t="b">
        <f t="shared" si="105"/>
        <v>0</v>
      </c>
      <c r="U155" s="649">
        <f t="shared" si="67"/>
        <v>0</v>
      </c>
      <c r="V155" s="650"/>
      <c r="W155" s="649">
        <f t="shared" si="68"/>
        <v>0</v>
      </c>
      <c r="X155" s="650"/>
      <c r="Y155" s="649">
        <f t="shared" si="69"/>
        <v>0</v>
      </c>
      <c r="Z155" s="650"/>
      <c r="AA155" s="649">
        <f t="shared" si="70"/>
        <v>0</v>
      </c>
      <c r="AB155" s="650"/>
      <c r="AC155" s="649">
        <f t="shared" si="71"/>
        <v>0</v>
      </c>
      <c r="AD155" s="650"/>
      <c r="AE155" s="649">
        <f t="shared" si="72"/>
        <v>0</v>
      </c>
      <c r="AF155" s="650"/>
      <c r="AG155" s="649">
        <f t="shared" si="73"/>
        <v>0</v>
      </c>
      <c r="AH155" s="650"/>
      <c r="AI155" s="649">
        <f t="shared" si="74"/>
        <v>0</v>
      </c>
      <c r="AJ155" s="650"/>
      <c r="AK155" s="649">
        <f t="shared" si="75"/>
        <v>0</v>
      </c>
      <c r="AL155" s="650"/>
      <c r="AM155" s="649">
        <f t="shared" si="76"/>
        <v>0</v>
      </c>
      <c r="AN155" s="650"/>
      <c r="AO155" s="649">
        <f t="shared" si="77"/>
        <v>0</v>
      </c>
      <c r="AP155" s="650"/>
      <c r="AQ155" s="649">
        <f t="shared" si="78"/>
        <v>0</v>
      </c>
      <c r="AR155" s="650"/>
      <c r="AS155" s="651">
        <f t="shared" si="79"/>
        <v>0</v>
      </c>
      <c r="AT155" s="652"/>
      <c r="AU155" s="141">
        <f t="shared" si="92"/>
        <v>0</v>
      </c>
      <c r="AV155" s="141">
        <f t="shared" si="93"/>
        <v>0</v>
      </c>
      <c r="AW155" s="141">
        <f t="shared" si="94"/>
        <v>0</v>
      </c>
      <c r="AX155" s="141">
        <f t="shared" si="95"/>
        <v>0</v>
      </c>
      <c r="AY155" s="141">
        <f t="shared" si="96"/>
        <v>0</v>
      </c>
      <c r="AZ155" s="141">
        <f t="shared" si="97"/>
        <v>0</v>
      </c>
      <c r="BA155" s="141">
        <f t="shared" si="98"/>
        <v>0</v>
      </c>
      <c r="BB155" s="141">
        <f t="shared" si="99"/>
        <v>0</v>
      </c>
      <c r="BC155" s="141">
        <f t="shared" si="100"/>
        <v>0</v>
      </c>
      <c r="BD155" s="141">
        <f t="shared" si="101"/>
        <v>0</v>
      </c>
      <c r="BE155" s="141">
        <f t="shared" si="102"/>
        <v>0</v>
      </c>
      <c r="BF155" s="141">
        <f t="shared" si="103"/>
        <v>0</v>
      </c>
      <c r="BG155" s="141">
        <f t="shared" si="80"/>
        <v>0</v>
      </c>
      <c r="BH155" s="141">
        <f t="shared" si="81"/>
        <v>0</v>
      </c>
      <c r="BI155" s="141">
        <f t="shared" si="104"/>
        <v>0</v>
      </c>
      <c r="BJ155" s="147">
        <f t="shared" si="82"/>
        <v>0</v>
      </c>
      <c r="BK155" s="141">
        <f t="shared" si="83"/>
        <v>0</v>
      </c>
      <c r="BL155" s="141">
        <f t="shared" si="84"/>
        <v>0</v>
      </c>
      <c r="BM155" s="141">
        <f t="shared" si="85"/>
        <v>0</v>
      </c>
      <c r="BN155" s="141">
        <f t="shared" si="86"/>
        <v>0</v>
      </c>
      <c r="BO155" s="141">
        <f t="shared" si="87"/>
        <v>0</v>
      </c>
      <c r="BP155" s="141">
        <f t="shared" si="88"/>
        <v>0</v>
      </c>
      <c r="BT155" s="177"/>
      <c r="BU155" s="173"/>
      <c r="BV155" s="174"/>
      <c r="BW155" s="117"/>
      <c r="BX155" s="180"/>
      <c r="BY155" s="117"/>
      <c r="BZ155" s="181"/>
      <c r="CA155" s="182"/>
      <c r="CB155" s="176"/>
      <c r="CC155" s="176"/>
      <c r="CF155" s="170"/>
      <c r="CG155" s="171"/>
      <c r="CH155" s="170"/>
      <c r="CI155" s="171"/>
    </row>
    <row r="156" spans="2:87" s="108" customFormat="1" hidden="1">
      <c r="B156" s="109"/>
      <c r="C156" s="141" t="e">
        <f t="shared" si="109"/>
        <v>#NUM!</v>
      </c>
      <c r="D156" s="141">
        <f t="shared" ref="D156:D219" si="111">IFERROR(IF(SEARCH("pv",M156)=1,IF(M156&gt;0,1/COUNTIF(M:M,M156),0),0),0)</f>
        <v>0</v>
      </c>
      <c r="E156" s="141"/>
      <c r="F156" s="142">
        <f t="shared" si="89"/>
        <v>0</v>
      </c>
      <c r="G156" s="143" t="s">
        <v>146</v>
      </c>
      <c r="H156" s="80">
        <f t="shared" ref="H156:H219" si="112">IFERROR(VLOOKUP(I156,$CF$75:$CK$104,6,0),0)</f>
        <v>0</v>
      </c>
      <c r="I156" s="80" t="str">
        <f t="shared" si="90"/>
        <v/>
      </c>
      <c r="J156" s="144"/>
      <c r="K156" s="144"/>
      <c r="L156" s="144"/>
      <c r="M156" s="76"/>
      <c r="N156" s="77"/>
      <c r="O156" s="145"/>
      <c r="P156" s="77">
        <f t="shared" si="91"/>
        <v>0</v>
      </c>
      <c r="Q156" s="78"/>
      <c r="R156" s="79"/>
      <c r="S156" s="146">
        <f t="shared" si="110"/>
        <v>0</v>
      </c>
      <c r="T156" s="141" t="b">
        <f t="shared" si="105"/>
        <v>0</v>
      </c>
      <c r="U156" s="649">
        <f t="shared" ref="U156:U219" si="113">IFERROR(IF(L156="SECO",IF(AND(S156&gt;$U$27,S156&lt;=$V$27),(P156*S156*E156),IF(S156&gt;=$V$27,(($V$27-$U$27)*P156*E156),0))*$BU$17,0),0)</f>
        <v>0</v>
      </c>
      <c r="V156" s="650"/>
      <c r="W156" s="649">
        <f t="shared" ref="W156:W219" si="114">IFERROR(IF(L156="SECO",IF(AND(S156&gt;$W$27,S156&lt;=$X$27),(P156*(S156-$V$27)*E156),IF(S156&gt;=$X$27,(($X$27-$W$27)*P156*E156),0))*$BU$17,0),0)</f>
        <v>0</v>
      </c>
      <c r="X156" s="650"/>
      <c r="Y156" s="649">
        <f t="shared" ref="Y156:Y219" si="115">IFERROR(IF(L156="SECO",IF(AND(S156&gt;$Y$27,S156&lt;=$Z$27),(P156*(S156-$X$27)*E156),IF(S156&gt;=$Z$27,(($Z$27-$Y$27)*P156*E156),0))*$BU$17,0),0)</f>
        <v>0</v>
      </c>
      <c r="Z156" s="650"/>
      <c r="AA156" s="649">
        <f t="shared" ref="AA156:AA219" si="116">IFERROR(IF(L156="SECO",IF(AND(S156&gt;$AA$27,S156&lt;=$AB$27),(P156*S156*E156),IF(S156&gt;=$AB$27,(($AB$27-$AA$27)*P156*E156),0))*$BU$19,0),0)</f>
        <v>0</v>
      </c>
      <c r="AB156" s="650"/>
      <c r="AC156" s="649">
        <f t="shared" ref="AC156:AC219" si="117">IFERROR(IF(L156="SECO",IF(AND(S156&gt;$AC$27,S156&lt;=$AD$27),(P156*(S156-$AB$27)*E156),IF(S156&gt;=$AD$27,(($AD$27-$AC$27)*P156*E156),0))*$BU$19,0),0)</f>
        <v>0</v>
      </c>
      <c r="AD156" s="650"/>
      <c r="AE156" s="649">
        <f t="shared" ref="AE156:AE219" si="118">IFERROR(IF(L156="SECO",IF(AND(S156&gt;$AE$27,S156&lt;=$AF$27),(P156*(S156-$AD$27)*E156),IF(S156&gt;=$AF$27,(($AF$27-$AE$27)*P156*E156),0))*$BU$19,0),0)</f>
        <v>0</v>
      </c>
      <c r="AF156" s="650"/>
      <c r="AG156" s="649">
        <f t="shared" ref="AG156:AG219" si="119">IFERROR(IF(L156="SECO",IF(AND(S156&gt;$AG$27,S156&lt;=$AH$27),(P156*(S156-$AF$27)*E156),IF(S156&gt;=$AH$27,(($AH$27-$AG$27)*P156*E156),0))*($BU$19+$BU$17),0),0)</f>
        <v>0</v>
      </c>
      <c r="AH156" s="650"/>
      <c r="AI156" s="649">
        <f t="shared" ref="AI156:AI219" si="120">IFERROR(IF(L156="ÁGUA",IF(AND(S156&gt;$AI$27,S156&lt;=$AJ$27),(P156*S156*E156),IF(S156&gt;=$AJ$27,(($AJ$27-$AI$27)*P156*E156),0))*$BU$17,0),0)</f>
        <v>0</v>
      </c>
      <c r="AJ156" s="650"/>
      <c r="AK156" s="649">
        <f t="shared" ref="AK156:AK219" si="121">IFERROR(IF(L156="ÁGUA",IF(AND(S156&gt;$AK$27,S156&lt;=$AL$27),(P156*(S156-$AJ$27)*E156),IF(S156&gt;=$AL$27,(($AL$27-$AK$27)*P156*E156),0))*$BU$17,0),0)</f>
        <v>0</v>
      </c>
      <c r="AL156" s="650"/>
      <c r="AM156" s="649">
        <f t="shared" ref="AM156:AM219" si="122">IFERROR(IF(L156="ÁGUA",IF(AND(S156&gt;$AM$27,S156&lt;=$AN$27),(P156*S156*E156),IF(S156&gt;=$AN$27,(($AN$27-$AM$27)*P156*E156),0))*$BU$19,0),0)</f>
        <v>0</v>
      </c>
      <c r="AN156" s="650"/>
      <c r="AO156" s="649">
        <f t="shared" ref="AO156:AO219" si="123">IFERROR(IF(L156="ÁGUA",IF(AND(S156&gt;$AO$27,S156&lt;=$AP$27),(P156*(S156-$AN$27)*E156),IF(S156&gt;=$AP$27,(($AP$27-$AO$27)*P156*E156),0))*$BU$19,0),0)</f>
        <v>0</v>
      </c>
      <c r="AP156" s="650"/>
      <c r="AQ156" s="649">
        <f t="shared" ref="AQ156:AQ219" si="124">IFERROR(IF(L156="ÁGUA",IF(AND(S156&gt;$AQ$27,S156&lt;=$AR$27),(P156*(S156-$AP$27)*E156),IF(S156&gt;=$AR$27,(($AR$27-$AQ$27)*P156*E156),0))*($BU$19+$BU$17),0),0)</f>
        <v>0</v>
      </c>
      <c r="AR156" s="650"/>
      <c r="AS156" s="651">
        <f t="shared" ref="AS156:AS219" si="125">IFERROR(IF(L156="ÁGUA",IF(AND(S156&gt;$AS$27,S156&lt;=$AT$27),(P156*(S156-$AR$27)*E156),IF(S156&gt;=$AT$27,(($AT$27-$AS$27)*P156*E156),0))*($BU$19+$BU$17),0),0)</f>
        <v>0</v>
      </c>
      <c r="AT156" s="652"/>
      <c r="AU156" s="141">
        <f t="shared" si="92"/>
        <v>0</v>
      </c>
      <c r="AV156" s="141">
        <f t="shared" si="93"/>
        <v>0</v>
      </c>
      <c r="AW156" s="141">
        <f t="shared" si="94"/>
        <v>0</v>
      </c>
      <c r="AX156" s="141">
        <f t="shared" si="95"/>
        <v>0</v>
      </c>
      <c r="AY156" s="141">
        <f t="shared" si="96"/>
        <v>0</v>
      </c>
      <c r="AZ156" s="141">
        <f t="shared" si="97"/>
        <v>0</v>
      </c>
      <c r="BA156" s="141">
        <f t="shared" si="98"/>
        <v>0</v>
      </c>
      <c r="BB156" s="141">
        <f t="shared" si="99"/>
        <v>0</v>
      </c>
      <c r="BC156" s="141">
        <f t="shared" si="100"/>
        <v>0</v>
      </c>
      <c r="BD156" s="141">
        <f t="shared" si="101"/>
        <v>0</v>
      </c>
      <c r="BE156" s="141">
        <f t="shared" si="102"/>
        <v>0</v>
      </c>
      <c r="BF156" s="141">
        <f t="shared" si="103"/>
        <v>0</v>
      </c>
      <c r="BG156" s="141">
        <f t="shared" ref="BG156:BG219" si="126">IF(L156="água",(VLOOKUP(Q156,$CF$31:$CG$52,2,0)*E156*P156),0)</f>
        <v>0</v>
      </c>
      <c r="BH156" s="141">
        <f t="shared" ref="BH156:BH219" si="127">IF(L156="água",(VLOOKUP(Q156,$CH$31:$CI$52,2,0)*E156*P156),0)</f>
        <v>0</v>
      </c>
      <c r="BI156" s="141">
        <f t="shared" si="104"/>
        <v>0</v>
      </c>
      <c r="BJ156" s="147">
        <f t="shared" ref="BJ156:BJ219" si="128">IFERROR(VLOOKUP(I156,$CF$75:$CI$104,4,0),0)</f>
        <v>0</v>
      </c>
      <c r="BK156" s="141">
        <f t="shared" ref="BK156:BK219" si="129">IF(J156="BSTC",VLOOKUP(Q156,$CF$58:$CG$70,2,0)*P156,0)</f>
        <v>0</v>
      </c>
      <c r="BL156" s="141">
        <f t="shared" ref="BL156:BL219" si="130">IF(J156="BSTC",VLOOKUP(Q156,$CH$58:$CI$70,2,0)*P156,0)</f>
        <v>0</v>
      </c>
      <c r="BM156" s="141">
        <f t="shared" ref="BM156:BM219" si="131">IF(K156=$BM$27,P156*E156,0)</f>
        <v>0</v>
      </c>
      <c r="BN156" s="141">
        <f t="shared" ref="BN156:BN219" si="132">IF(K156=$BN$27,P156*E156,0)</f>
        <v>0</v>
      </c>
      <c r="BO156" s="141">
        <f t="shared" ref="BO156:BO219" si="133">IF(K156=$BO$27,P156*E156,0)</f>
        <v>0</v>
      </c>
      <c r="BP156" s="141">
        <f t="shared" ref="BP156:BP219" si="134">IF(K156=$BP$27,P156*E156,0)</f>
        <v>0</v>
      </c>
      <c r="BT156" s="177"/>
      <c r="BU156" s="173"/>
      <c r="BV156" s="174"/>
      <c r="BW156" s="117"/>
      <c r="BX156" s="180"/>
      <c r="BY156" s="117"/>
      <c r="BZ156" s="181"/>
      <c r="CA156" s="182"/>
      <c r="CB156" s="176"/>
      <c r="CC156" s="176"/>
      <c r="CF156" s="170"/>
      <c r="CG156" s="171"/>
      <c r="CH156" s="170"/>
      <c r="CI156" s="171"/>
    </row>
    <row r="157" spans="2:87" s="108" customFormat="1" hidden="1">
      <c r="B157" s="109"/>
      <c r="C157" s="141" t="e">
        <f t="shared" si="109"/>
        <v>#NUM!</v>
      </c>
      <c r="D157" s="141">
        <f t="shared" si="111"/>
        <v>0</v>
      </c>
      <c r="E157" s="141" t="str">
        <f>IFERROR(DGET($BV$30:$CC$82,F157,G156:G157),"")</f>
        <v/>
      </c>
      <c r="F157" s="142">
        <f t="shared" ref="F157:F220" si="135">IF(AV157&gt;0,$AV$25,IF(AW157&gt;0,$AW$25,IF(AX157&gt;0,$AX$25,IF(AY157&gt;0,$AY$25,IF(AZ157&gt;0,$AZ$25,IF(AU157&gt;0,$AU$25,0))))))</f>
        <v>0</v>
      </c>
      <c r="G157" s="142" t="b">
        <f>IF(Q157&gt;0,IF(AND(S157&gt;0,S157&lt;2),CONCATENATE(Q157," ","0-2"),IF(AND(S157&gt;=2,S157&lt;8),CONCATENATE(Q157," ","2-8"),)))</f>
        <v>0</v>
      </c>
      <c r="H157" s="80">
        <f t="shared" si="112"/>
        <v>0</v>
      </c>
      <c r="I157" s="80" t="str">
        <f t="shared" si="90"/>
        <v/>
      </c>
      <c r="J157" s="76"/>
      <c r="K157" s="76"/>
      <c r="L157" s="76"/>
      <c r="M157" s="80"/>
      <c r="N157" s="79"/>
      <c r="O157" s="148"/>
      <c r="P157" s="77">
        <f t="shared" si="91"/>
        <v>0</v>
      </c>
      <c r="Q157" s="81"/>
      <c r="R157" s="77"/>
      <c r="S157" s="146">
        <f t="shared" si="110"/>
        <v>0</v>
      </c>
      <c r="T157" s="141" t="b">
        <f t="shared" si="105"/>
        <v>0</v>
      </c>
      <c r="U157" s="649">
        <f t="shared" si="113"/>
        <v>0</v>
      </c>
      <c r="V157" s="650"/>
      <c r="W157" s="649">
        <f t="shared" si="114"/>
        <v>0</v>
      </c>
      <c r="X157" s="650"/>
      <c r="Y157" s="649">
        <f t="shared" si="115"/>
        <v>0</v>
      </c>
      <c r="Z157" s="650"/>
      <c r="AA157" s="649">
        <f t="shared" si="116"/>
        <v>0</v>
      </c>
      <c r="AB157" s="650"/>
      <c r="AC157" s="649">
        <f t="shared" si="117"/>
        <v>0</v>
      </c>
      <c r="AD157" s="650"/>
      <c r="AE157" s="649">
        <f t="shared" si="118"/>
        <v>0</v>
      </c>
      <c r="AF157" s="650"/>
      <c r="AG157" s="649">
        <f t="shared" si="119"/>
        <v>0</v>
      </c>
      <c r="AH157" s="650"/>
      <c r="AI157" s="649">
        <f t="shared" si="120"/>
        <v>0</v>
      </c>
      <c r="AJ157" s="650"/>
      <c r="AK157" s="649">
        <f t="shared" si="121"/>
        <v>0</v>
      </c>
      <c r="AL157" s="650"/>
      <c r="AM157" s="649">
        <f t="shared" si="122"/>
        <v>0</v>
      </c>
      <c r="AN157" s="650"/>
      <c r="AO157" s="649">
        <f t="shared" si="123"/>
        <v>0</v>
      </c>
      <c r="AP157" s="650"/>
      <c r="AQ157" s="649">
        <f t="shared" si="124"/>
        <v>0</v>
      </c>
      <c r="AR157" s="650"/>
      <c r="AS157" s="651">
        <f t="shared" si="125"/>
        <v>0</v>
      </c>
      <c r="AT157" s="652"/>
      <c r="AU157" s="141">
        <f t="shared" si="92"/>
        <v>0</v>
      </c>
      <c r="AV157" s="141">
        <f t="shared" si="93"/>
        <v>0</v>
      </c>
      <c r="AW157" s="141">
        <f t="shared" si="94"/>
        <v>0</v>
      </c>
      <c r="AX157" s="141">
        <f t="shared" si="95"/>
        <v>0</v>
      </c>
      <c r="AY157" s="141">
        <f t="shared" si="96"/>
        <v>0</v>
      </c>
      <c r="AZ157" s="141">
        <f t="shared" si="97"/>
        <v>0</v>
      </c>
      <c r="BA157" s="141">
        <f t="shared" si="98"/>
        <v>0</v>
      </c>
      <c r="BB157" s="141">
        <f t="shared" si="99"/>
        <v>0</v>
      </c>
      <c r="BC157" s="141">
        <f t="shared" si="100"/>
        <v>0</v>
      </c>
      <c r="BD157" s="141">
        <f t="shared" si="101"/>
        <v>0</v>
      </c>
      <c r="BE157" s="141">
        <f t="shared" si="102"/>
        <v>0</v>
      </c>
      <c r="BF157" s="141">
        <f t="shared" si="103"/>
        <v>0</v>
      </c>
      <c r="BG157" s="141">
        <f t="shared" si="126"/>
        <v>0</v>
      </c>
      <c r="BH157" s="141">
        <f t="shared" si="127"/>
        <v>0</v>
      </c>
      <c r="BI157" s="141">
        <f t="shared" si="104"/>
        <v>0</v>
      </c>
      <c r="BJ157" s="147">
        <f t="shared" si="128"/>
        <v>0</v>
      </c>
      <c r="BK157" s="141">
        <f t="shared" si="129"/>
        <v>0</v>
      </c>
      <c r="BL157" s="141">
        <f t="shared" si="130"/>
        <v>0</v>
      </c>
      <c r="BM157" s="141">
        <f t="shared" si="131"/>
        <v>0</v>
      </c>
      <c r="BN157" s="141">
        <f t="shared" si="132"/>
        <v>0</v>
      </c>
      <c r="BO157" s="141">
        <f t="shared" si="133"/>
        <v>0</v>
      </c>
      <c r="BP157" s="141">
        <f t="shared" si="134"/>
        <v>0</v>
      </c>
      <c r="BT157" s="177"/>
      <c r="BU157" s="173"/>
      <c r="BV157" s="174"/>
      <c r="BW157" s="117"/>
      <c r="BX157" s="180"/>
      <c r="BY157" s="117"/>
      <c r="BZ157" s="181"/>
      <c r="CA157" s="182"/>
      <c r="CB157" s="176"/>
      <c r="CC157" s="176"/>
      <c r="CF157" s="170"/>
      <c r="CG157" s="171"/>
      <c r="CH157" s="170"/>
      <c r="CI157" s="171"/>
    </row>
    <row r="158" spans="2:87" s="108" customFormat="1" hidden="1">
      <c r="B158" s="109"/>
      <c r="C158" s="141" t="e">
        <f t="shared" si="109"/>
        <v>#NUM!</v>
      </c>
      <c r="D158" s="141">
        <f t="shared" si="111"/>
        <v>0</v>
      </c>
      <c r="E158" s="141"/>
      <c r="F158" s="142">
        <f t="shared" si="135"/>
        <v>0</v>
      </c>
      <c r="G158" s="143" t="s">
        <v>146</v>
      </c>
      <c r="H158" s="80">
        <f t="shared" si="112"/>
        <v>0</v>
      </c>
      <c r="I158" s="80" t="str">
        <f t="shared" ref="I158:I221" si="136">CONCATENATE(J158,Q158)</f>
        <v/>
      </c>
      <c r="J158" s="144"/>
      <c r="K158" s="144"/>
      <c r="L158" s="144"/>
      <c r="M158" s="76"/>
      <c r="N158" s="77"/>
      <c r="O158" s="145"/>
      <c r="P158" s="77">
        <f t="shared" ref="P158:P221" si="137">SQRT(((N158*O158)^2)+(N158^2))</f>
        <v>0</v>
      </c>
      <c r="Q158" s="78"/>
      <c r="R158" s="79"/>
      <c r="S158" s="146">
        <f t="shared" si="110"/>
        <v>0</v>
      </c>
      <c r="T158" s="141" t="b">
        <f t="shared" si="105"/>
        <v>0</v>
      </c>
      <c r="U158" s="649">
        <f t="shared" si="113"/>
        <v>0</v>
      </c>
      <c r="V158" s="650"/>
      <c r="W158" s="649">
        <f t="shared" si="114"/>
        <v>0</v>
      </c>
      <c r="X158" s="650"/>
      <c r="Y158" s="649">
        <f t="shared" si="115"/>
        <v>0</v>
      </c>
      <c r="Z158" s="650"/>
      <c r="AA158" s="649">
        <f t="shared" si="116"/>
        <v>0</v>
      </c>
      <c r="AB158" s="650"/>
      <c r="AC158" s="649">
        <f t="shared" si="117"/>
        <v>0</v>
      </c>
      <c r="AD158" s="650"/>
      <c r="AE158" s="649">
        <f t="shared" si="118"/>
        <v>0</v>
      </c>
      <c r="AF158" s="650"/>
      <c r="AG158" s="649">
        <f t="shared" si="119"/>
        <v>0</v>
      </c>
      <c r="AH158" s="650"/>
      <c r="AI158" s="649">
        <f t="shared" si="120"/>
        <v>0</v>
      </c>
      <c r="AJ158" s="650"/>
      <c r="AK158" s="649">
        <f t="shared" si="121"/>
        <v>0</v>
      </c>
      <c r="AL158" s="650"/>
      <c r="AM158" s="649">
        <f t="shared" si="122"/>
        <v>0</v>
      </c>
      <c r="AN158" s="650"/>
      <c r="AO158" s="649">
        <f t="shared" si="123"/>
        <v>0</v>
      </c>
      <c r="AP158" s="650"/>
      <c r="AQ158" s="649">
        <f t="shared" si="124"/>
        <v>0</v>
      </c>
      <c r="AR158" s="650"/>
      <c r="AS158" s="651">
        <f t="shared" si="125"/>
        <v>0</v>
      </c>
      <c r="AT158" s="652"/>
      <c r="AU158" s="141">
        <f t="shared" ref="AU158:AU221" si="138">IF((S158&lt;1.25),S158*P158*2,0)</f>
        <v>0</v>
      </c>
      <c r="AV158" s="141">
        <f t="shared" ref="AV158:AV221" si="139">IF(AND(L158="seco",S158&gt;=1.25,S158&lt;3),S158*P158*2,0)</f>
        <v>0</v>
      </c>
      <c r="AW158" s="141">
        <f t="shared" ref="AW158:AW221" si="140">IF(AND(L158="seco",S158&gt;=3),S158*P158*2,0)</f>
        <v>0</v>
      </c>
      <c r="AX158" s="141">
        <f t="shared" ref="AX158:AX221" si="141">IF(AND(L158="água",S158&gt;=1.25,S158&lt;4),S158*P158*2,0)</f>
        <v>0</v>
      </c>
      <c r="AY158" s="141">
        <f t="shared" ref="AY158:AY221" si="142">IF(AND(L158="água",S158&gt;=4,S158&lt;5),S158*P158*2,0)</f>
        <v>0</v>
      </c>
      <c r="AZ158" s="141">
        <f t="shared" ref="AZ158:AZ221" si="143">IF(AND(L158="água",S158&gt;=5),S158*P158*2,0)</f>
        <v>0</v>
      </c>
      <c r="BA158" s="141">
        <f t="shared" ref="BA158:BA221" si="144">SUM(U158:AT158)</f>
        <v>0</v>
      </c>
      <c r="BB158" s="141">
        <f t="shared" ref="BB158:BB221" si="145">BA158-((PI()*((Q158/2000)^2)*P158)+BG158+BH158+BK158+BF158)</f>
        <v>0</v>
      </c>
      <c r="BC158" s="141">
        <f t="shared" ref="BC158:BC221" si="146">IF(L158="ÁGUA",BA158,BA158-BB158)</f>
        <v>0</v>
      </c>
      <c r="BD158" s="141">
        <f t="shared" ref="BD158:BD221" si="147">IF(L158="ÁGUA",BB158,0)</f>
        <v>0</v>
      </c>
      <c r="BE158" s="141">
        <f t="shared" ref="BE158:BE221" si="148">IFERROR(P158*E158,0)</f>
        <v>0</v>
      </c>
      <c r="BF158" s="141">
        <f t="shared" ref="BF158:BF221" si="149">IF(OR(J158="PEAD",J158="PVC"),((((H158+Q158)/1000)+0.6)*E158*P158)-((PI()*((Q158/2000)^2)*P158)),0)</f>
        <v>0</v>
      </c>
      <c r="BG158" s="141">
        <f t="shared" si="126"/>
        <v>0</v>
      </c>
      <c r="BH158" s="141">
        <f t="shared" si="127"/>
        <v>0</v>
      </c>
      <c r="BI158" s="141">
        <f t="shared" ref="BI158:BI221" si="150">IF(L158="água",(P158),0)</f>
        <v>0</v>
      </c>
      <c r="BJ158" s="147">
        <f t="shared" si="128"/>
        <v>0</v>
      </c>
      <c r="BK158" s="141">
        <f t="shared" si="129"/>
        <v>0</v>
      </c>
      <c r="BL158" s="141">
        <f t="shared" si="130"/>
        <v>0</v>
      </c>
      <c r="BM158" s="141">
        <f t="shared" si="131"/>
        <v>0</v>
      </c>
      <c r="BN158" s="141">
        <f t="shared" si="132"/>
        <v>0</v>
      </c>
      <c r="BO158" s="141">
        <f t="shared" si="133"/>
        <v>0</v>
      </c>
      <c r="BP158" s="141">
        <f t="shared" si="134"/>
        <v>0</v>
      </c>
      <c r="BT158" s="177"/>
      <c r="BU158" s="173"/>
      <c r="BV158" s="174"/>
      <c r="BW158" s="117"/>
      <c r="BX158" s="180"/>
      <c r="BY158" s="117"/>
      <c r="BZ158" s="181"/>
      <c r="CA158" s="182"/>
      <c r="CB158" s="176"/>
      <c r="CC158" s="176"/>
      <c r="CF158" s="170"/>
      <c r="CG158" s="171"/>
      <c r="CH158" s="170"/>
      <c r="CI158" s="171"/>
    </row>
    <row r="159" spans="2:87" s="108" customFormat="1" hidden="1">
      <c r="B159" s="109"/>
      <c r="C159" s="141" t="e">
        <f t="shared" si="109"/>
        <v>#NUM!</v>
      </c>
      <c r="D159" s="141">
        <f t="shared" si="111"/>
        <v>0</v>
      </c>
      <c r="E159" s="141" t="str">
        <f>IFERROR(DGET($BV$30:$CC$82,F159,G158:G159),"")</f>
        <v/>
      </c>
      <c r="F159" s="142">
        <f t="shared" si="135"/>
        <v>0</v>
      </c>
      <c r="G159" s="142" t="b">
        <f>IF(Q159&gt;0,IF(AND(S159&gt;0,S159&lt;2),CONCATENATE(Q159," ","0-2"),IF(AND(S159&gt;=2,S159&lt;8),CONCATENATE(Q159," ","2-8"),)))</f>
        <v>0</v>
      </c>
      <c r="H159" s="80">
        <f t="shared" si="112"/>
        <v>0</v>
      </c>
      <c r="I159" s="80" t="str">
        <f t="shared" si="136"/>
        <v/>
      </c>
      <c r="J159" s="76"/>
      <c r="K159" s="76"/>
      <c r="L159" s="76"/>
      <c r="M159" s="80"/>
      <c r="N159" s="79"/>
      <c r="O159" s="148"/>
      <c r="P159" s="77">
        <f t="shared" si="137"/>
        <v>0</v>
      </c>
      <c r="Q159" s="81"/>
      <c r="R159" s="77"/>
      <c r="S159" s="146">
        <f t="shared" si="110"/>
        <v>0</v>
      </c>
      <c r="T159" s="141" t="b">
        <f t="shared" ref="T159:T222" si="151">IF(R159&gt;0,IF(R159&gt;=1.5,R159-1.5,0))</f>
        <v>0</v>
      </c>
      <c r="U159" s="649">
        <f t="shared" si="113"/>
        <v>0</v>
      </c>
      <c r="V159" s="650"/>
      <c r="W159" s="649">
        <f t="shared" si="114"/>
        <v>0</v>
      </c>
      <c r="X159" s="650"/>
      <c r="Y159" s="649">
        <f t="shared" si="115"/>
        <v>0</v>
      </c>
      <c r="Z159" s="650"/>
      <c r="AA159" s="649">
        <f t="shared" si="116"/>
        <v>0</v>
      </c>
      <c r="AB159" s="650"/>
      <c r="AC159" s="649">
        <f t="shared" si="117"/>
        <v>0</v>
      </c>
      <c r="AD159" s="650"/>
      <c r="AE159" s="649">
        <f t="shared" si="118"/>
        <v>0</v>
      </c>
      <c r="AF159" s="650"/>
      <c r="AG159" s="649">
        <f t="shared" si="119"/>
        <v>0</v>
      </c>
      <c r="AH159" s="650"/>
      <c r="AI159" s="649">
        <f t="shared" si="120"/>
        <v>0</v>
      </c>
      <c r="AJ159" s="650"/>
      <c r="AK159" s="649">
        <f t="shared" si="121"/>
        <v>0</v>
      </c>
      <c r="AL159" s="650"/>
      <c r="AM159" s="649">
        <f t="shared" si="122"/>
        <v>0</v>
      </c>
      <c r="AN159" s="650"/>
      <c r="AO159" s="649">
        <f t="shared" si="123"/>
        <v>0</v>
      </c>
      <c r="AP159" s="650"/>
      <c r="AQ159" s="649">
        <f t="shared" si="124"/>
        <v>0</v>
      </c>
      <c r="AR159" s="650"/>
      <c r="AS159" s="651">
        <f t="shared" si="125"/>
        <v>0</v>
      </c>
      <c r="AT159" s="652"/>
      <c r="AU159" s="141">
        <f t="shared" si="138"/>
        <v>0</v>
      </c>
      <c r="AV159" s="141">
        <f t="shared" si="139"/>
        <v>0</v>
      </c>
      <c r="AW159" s="141">
        <f t="shared" si="140"/>
        <v>0</v>
      </c>
      <c r="AX159" s="141">
        <f t="shared" si="141"/>
        <v>0</v>
      </c>
      <c r="AY159" s="141">
        <f t="shared" si="142"/>
        <v>0</v>
      </c>
      <c r="AZ159" s="141">
        <f t="shared" si="143"/>
        <v>0</v>
      </c>
      <c r="BA159" s="141">
        <f t="shared" si="144"/>
        <v>0</v>
      </c>
      <c r="BB159" s="141">
        <f t="shared" si="145"/>
        <v>0</v>
      </c>
      <c r="BC159" s="141">
        <f t="shared" si="146"/>
        <v>0</v>
      </c>
      <c r="BD159" s="141">
        <f t="shared" si="147"/>
        <v>0</v>
      </c>
      <c r="BE159" s="141">
        <f t="shared" si="148"/>
        <v>0</v>
      </c>
      <c r="BF159" s="141">
        <f t="shared" si="149"/>
        <v>0</v>
      </c>
      <c r="BG159" s="141">
        <f t="shared" si="126"/>
        <v>0</v>
      </c>
      <c r="BH159" s="141">
        <f t="shared" si="127"/>
        <v>0</v>
      </c>
      <c r="BI159" s="141">
        <f t="shared" si="150"/>
        <v>0</v>
      </c>
      <c r="BJ159" s="147">
        <f t="shared" si="128"/>
        <v>0</v>
      </c>
      <c r="BK159" s="141">
        <f t="shared" si="129"/>
        <v>0</v>
      </c>
      <c r="BL159" s="141">
        <f t="shared" si="130"/>
        <v>0</v>
      </c>
      <c r="BM159" s="141">
        <f t="shared" si="131"/>
        <v>0</v>
      </c>
      <c r="BN159" s="141">
        <f t="shared" si="132"/>
        <v>0</v>
      </c>
      <c r="BO159" s="141">
        <f t="shared" si="133"/>
        <v>0</v>
      </c>
      <c r="BP159" s="141">
        <f t="shared" si="134"/>
        <v>0</v>
      </c>
      <c r="BT159" s="177"/>
      <c r="BU159" s="173"/>
      <c r="BV159" s="174"/>
      <c r="BW159" s="117"/>
      <c r="BX159" s="180"/>
      <c r="BY159" s="117"/>
      <c r="BZ159" s="181"/>
      <c r="CA159" s="182"/>
      <c r="CB159" s="176"/>
      <c r="CC159" s="176"/>
      <c r="CF159" s="170"/>
      <c r="CG159" s="171"/>
      <c r="CH159" s="170"/>
      <c r="CI159" s="171"/>
    </row>
    <row r="160" spans="2:87" s="108" customFormat="1" hidden="1">
      <c r="B160" s="109"/>
      <c r="C160" s="141" t="e">
        <f t="shared" si="109"/>
        <v>#NUM!</v>
      </c>
      <c r="D160" s="141">
        <f t="shared" si="111"/>
        <v>0</v>
      </c>
      <c r="E160" s="141"/>
      <c r="F160" s="142">
        <f t="shared" si="135"/>
        <v>0</v>
      </c>
      <c r="G160" s="143" t="s">
        <v>146</v>
      </c>
      <c r="H160" s="80">
        <f t="shared" si="112"/>
        <v>0</v>
      </c>
      <c r="I160" s="80" t="str">
        <f t="shared" si="136"/>
        <v/>
      </c>
      <c r="J160" s="144"/>
      <c r="K160" s="144"/>
      <c r="L160" s="144"/>
      <c r="M160" s="76"/>
      <c r="N160" s="77"/>
      <c r="O160" s="145"/>
      <c r="P160" s="77">
        <f t="shared" si="137"/>
        <v>0</v>
      </c>
      <c r="Q160" s="78"/>
      <c r="R160" s="79"/>
      <c r="S160" s="146">
        <f t="shared" si="110"/>
        <v>0</v>
      </c>
      <c r="T160" s="141" t="b">
        <f t="shared" si="151"/>
        <v>0</v>
      </c>
      <c r="U160" s="649">
        <f t="shared" si="113"/>
        <v>0</v>
      </c>
      <c r="V160" s="650"/>
      <c r="W160" s="649">
        <f t="shared" si="114"/>
        <v>0</v>
      </c>
      <c r="X160" s="650"/>
      <c r="Y160" s="649">
        <f t="shared" si="115"/>
        <v>0</v>
      </c>
      <c r="Z160" s="650"/>
      <c r="AA160" s="649">
        <f t="shared" si="116"/>
        <v>0</v>
      </c>
      <c r="AB160" s="650"/>
      <c r="AC160" s="649">
        <f t="shared" si="117"/>
        <v>0</v>
      </c>
      <c r="AD160" s="650"/>
      <c r="AE160" s="649">
        <f t="shared" si="118"/>
        <v>0</v>
      </c>
      <c r="AF160" s="650"/>
      <c r="AG160" s="649">
        <f t="shared" si="119"/>
        <v>0</v>
      </c>
      <c r="AH160" s="650"/>
      <c r="AI160" s="649">
        <f t="shared" si="120"/>
        <v>0</v>
      </c>
      <c r="AJ160" s="650"/>
      <c r="AK160" s="649">
        <f t="shared" si="121"/>
        <v>0</v>
      </c>
      <c r="AL160" s="650"/>
      <c r="AM160" s="649">
        <f t="shared" si="122"/>
        <v>0</v>
      </c>
      <c r="AN160" s="650"/>
      <c r="AO160" s="649">
        <f t="shared" si="123"/>
        <v>0</v>
      </c>
      <c r="AP160" s="650"/>
      <c r="AQ160" s="649">
        <f t="shared" si="124"/>
        <v>0</v>
      </c>
      <c r="AR160" s="650"/>
      <c r="AS160" s="651">
        <f t="shared" si="125"/>
        <v>0</v>
      </c>
      <c r="AT160" s="652"/>
      <c r="AU160" s="141">
        <f t="shared" si="138"/>
        <v>0</v>
      </c>
      <c r="AV160" s="141">
        <f t="shared" si="139"/>
        <v>0</v>
      </c>
      <c r="AW160" s="141">
        <f t="shared" si="140"/>
        <v>0</v>
      </c>
      <c r="AX160" s="141">
        <f t="shared" si="141"/>
        <v>0</v>
      </c>
      <c r="AY160" s="141">
        <f t="shared" si="142"/>
        <v>0</v>
      </c>
      <c r="AZ160" s="141">
        <f t="shared" si="143"/>
        <v>0</v>
      </c>
      <c r="BA160" s="141">
        <f t="shared" si="144"/>
        <v>0</v>
      </c>
      <c r="BB160" s="141">
        <f t="shared" si="145"/>
        <v>0</v>
      </c>
      <c r="BC160" s="141">
        <f t="shared" si="146"/>
        <v>0</v>
      </c>
      <c r="BD160" s="141">
        <f t="shared" si="147"/>
        <v>0</v>
      </c>
      <c r="BE160" s="141">
        <f t="shared" si="148"/>
        <v>0</v>
      </c>
      <c r="BF160" s="141">
        <f t="shared" si="149"/>
        <v>0</v>
      </c>
      <c r="BG160" s="141">
        <f t="shared" si="126"/>
        <v>0</v>
      </c>
      <c r="BH160" s="141">
        <f t="shared" si="127"/>
        <v>0</v>
      </c>
      <c r="BI160" s="141">
        <f t="shared" si="150"/>
        <v>0</v>
      </c>
      <c r="BJ160" s="147">
        <f t="shared" si="128"/>
        <v>0</v>
      </c>
      <c r="BK160" s="141">
        <f t="shared" si="129"/>
        <v>0</v>
      </c>
      <c r="BL160" s="141">
        <f t="shared" si="130"/>
        <v>0</v>
      </c>
      <c r="BM160" s="141">
        <f t="shared" si="131"/>
        <v>0</v>
      </c>
      <c r="BN160" s="141">
        <f t="shared" si="132"/>
        <v>0</v>
      </c>
      <c r="BO160" s="141">
        <f t="shared" si="133"/>
        <v>0</v>
      </c>
      <c r="BP160" s="141">
        <f t="shared" si="134"/>
        <v>0</v>
      </c>
      <c r="BT160" s="177"/>
      <c r="BU160" s="173"/>
      <c r="BV160" s="174"/>
      <c r="BW160" s="117"/>
      <c r="BX160" s="180"/>
      <c r="BY160" s="117"/>
      <c r="BZ160" s="181"/>
      <c r="CA160" s="182"/>
      <c r="CB160" s="176"/>
      <c r="CC160" s="176"/>
      <c r="CF160" s="170"/>
      <c r="CG160" s="171"/>
      <c r="CH160" s="170"/>
      <c r="CI160" s="171"/>
    </row>
    <row r="161" spans="2:87" s="108" customFormat="1" hidden="1">
      <c r="B161" s="109"/>
      <c r="C161" s="141" t="e">
        <f t="shared" si="109"/>
        <v>#NUM!</v>
      </c>
      <c r="D161" s="141">
        <f t="shared" si="111"/>
        <v>0</v>
      </c>
      <c r="E161" s="141" t="str">
        <f>IFERROR(DGET($BV$30:$CC$82,F161,G160:G161),"")</f>
        <v/>
      </c>
      <c r="F161" s="142">
        <f t="shared" si="135"/>
        <v>0</v>
      </c>
      <c r="G161" s="142" t="b">
        <f>IF(Q161&gt;0,IF(AND(S161&gt;0,S161&lt;2),CONCATENATE(Q161," ","0-2"),IF(AND(S161&gt;=2,S161&lt;8),CONCATENATE(Q161," ","2-8"),)))</f>
        <v>0</v>
      </c>
      <c r="H161" s="80">
        <f t="shared" si="112"/>
        <v>0</v>
      </c>
      <c r="I161" s="80" t="str">
        <f t="shared" si="136"/>
        <v/>
      </c>
      <c r="J161" s="76"/>
      <c r="K161" s="76"/>
      <c r="L161" s="76"/>
      <c r="M161" s="80"/>
      <c r="N161" s="79"/>
      <c r="O161" s="148"/>
      <c r="P161" s="77">
        <f t="shared" si="137"/>
        <v>0</v>
      </c>
      <c r="Q161" s="81"/>
      <c r="R161" s="77"/>
      <c r="S161" s="146">
        <f t="shared" si="110"/>
        <v>0</v>
      </c>
      <c r="T161" s="141" t="b">
        <f t="shared" si="151"/>
        <v>0</v>
      </c>
      <c r="U161" s="649">
        <f t="shared" si="113"/>
        <v>0</v>
      </c>
      <c r="V161" s="650"/>
      <c r="W161" s="649">
        <f t="shared" si="114"/>
        <v>0</v>
      </c>
      <c r="X161" s="650"/>
      <c r="Y161" s="649">
        <f t="shared" si="115"/>
        <v>0</v>
      </c>
      <c r="Z161" s="650"/>
      <c r="AA161" s="649">
        <f t="shared" si="116"/>
        <v>0</v>
      </c>
      <c r="AB161" s="650"/>
      <c r="AC161" s="649">
        <f t="shared" si="117"/>
        <v>0</v>
      </c>
      <c r="AD161" s="650"/>
      <c r="AE161" s="649">
        <f t="shared" si="118"/>
        <v>0</v>
      </c>
      <c r="AF161" s="650"/>
      <c r="AG161" s="649">
        <f t="shared" si="119"/>
        <v>0</v>
      </c>
      <c r="AH161" s="650"/>
      <c r="AI161" s="649">
        <f t="shared" si="120"/>
        <v>0</v>
      </c>
      <c r="AJ161" s="650"/>
      <c r="AK161" s="649">
        <f t="shared" si="121"/>
        <v>0</v>
      </c>
      <c r="AL161" s="650"/>
      <c r="AM161" s="649">
        <f t="shared" si="122"/>
        <v>0</v>
      </c>
      <c r="AN161" s="650"/>
      <c r="AO161" s="649">
        <f t="shared" si="123"/>
        <v>0</v>
      </c>
      <c r="AP161" s="650"/>
      <c r="AQ161" s="649">
        <f t="shared" si="124"/>
        <v>0</v>
      </c>
      <c r="AR161" s="650"/>
      <c r="AS161" s="651">
        <f t="shared" si="125"/>
        <v>0</v>
      </c>
      <c r="AT161" s="652"/>
      <c r="AU161" s="141">
        <f t="shared" si="138"/>
        <v>0</v>
      </c>
      <c r="AV161" s="141">
        <f t="shared" si="139"/>
        <v>0</v>
      </c>
      <c r="AW161" s="141">
        <f t="shared" si="140"/>
        <v>0</v>
      </c>
      <c r="AX161" s="141">
        <f t="shared" si="141"/>
        <v>0</v>
      </c>
      <c r="AY161" s="141">
        <f t="shared" si="142"/>
        <v>0</v>
      </c>
      <c r="AZ161" s="141">
        <f t="shared" si="143"/>
        <v>0</v>
      </c>
      <c r="BA161" s="141">
        <f t="shared" si="144"/>
        <v>0</v>
      </c>
      <c r="BB161" s="141">
        <f t="shared" si="145"/>
        <v>0</v>
      </c>
      <c r="BC161" s="141">
        <f t="shared" si="146"/>
        <v>0</v>
      </c>
      <c r="BD161" s="141">
        <f t="shared" si="147"/>
        <v>0</v>
      </c>
      <c r="BE161" s="141">
        <f t="shared" si="148"/>
        <v>0</v>
      </c>
      <c r="BF161" s="141">
        <f t="shared" si="149"/>
        <v>0</v>
      </c>
      <c r="BG161" s="141">
        <f t="shared" si="126"/>
        <v>0</v>
      </c>
      <c r="BH161" s="141">
        <f t="shared" si="127"/>
        <v>0</v>
      </c>
      <c r="BI161" s="141">
        <f t="shared" si="150"/>
        <v>0</v>
      </c>
      <c r="BJ161" s="147">
        <f t="shared" si="128"/>
        <v>0</v>
      </c>
      <c r="BK161" s="141">
        <f t="shared" si="129"/>
        <v>0</v>
      </c>
      <c r="BL161" s="141">
        <f t="shared" si="130"/>
        <v>0</v>
      </c>
      <c r="BM161" s="141">
        <f t="shared" si="131"/>
        <v>0</v>
      </c>
      <c r="BN161" s="141">
        <f t="shared" si="132"/>
        <v>0</v>
      </c>
      <c r="BO161" s="141">
        <f t="shared" si="133"/>
        <v>0</v>
      </c>
      <c r="BP161" s="141">
        <f t="shared" si="134"/>
        <v>0</v>
      </c>
      <c r="BT161" s="177"/>
      <c r="BU161" s="173"/>
      <c r="BV161" s="174"/>
      <c r="BW161" s="117"/>
      <c r="BX161" s="180"/>
      <c r="BY161" s="117"/>
      <c r="BZ161" s="181"/>
      <c r="CA161" s="182"/>
      <c r="CB161" s="176"/>
      <c r="CC161" s="176"/>
      <c r="CF161" s="170"/>
      <c r="CG161" s="171"/>
      <c r="CH161" s="170"/>
      <c r="CI161" s="171"/>
    </row>
    <row r="162" spans="2:87" s="108" customFormat="1" hidden="1">
      <c r="B162" s="109"/>
      <c r="C162" s="141" t="e">
        <f t="shared" si="109"/>
        <v>#NUM!</v>
      </c>
      <c r="D162" s="141">
        <f t="shared" si="111"/>
        <v>0</v>
      </c>
      <c r="E162" s="141"/>
      <c r="F162" s="142">
        <f t="shared" si="135"/>
        <v>0</v>
      </c>
      <c r="G162" s="143" t="s">
        <v>146</v>
      </c>
      <c r="H162" s="80">
        <f t="shared" si="112"/>
        <v>0</v>
      </c>
      <c r="I162" s="80" t="str">
        <f t="shared" si="136"/>
        <v/>
      </c>
      <c r="J162" s="144"/>
      <c r="K162" s="144"/>
      <c r="L162" s="144"/>
      <c r="M162" s="76"/>
      <c r="N162" s="77"/>
      <c r="O162" s="145"/>
      <c r="P162" s="77">
        <f t="shared" si="137"/>
        <v>0</v>
      </c>
      <c r="Q162" s="78"/>
      <c r="R162" s="79"/>
      <c r="S162" s="146">
        <f t="shared" si="110"/>
        <v>0</v>
      </c>
      <c r="T162" s="141" t="b">
        <f t="shared" si="151"/>
        <v>0</v>
      </c>
      <c r="U162" s="649">
        <f t="shared" si="113"/>
        <v>0</v>
      </c>
      <c r="V162" s="650"/>
      <c r="W162" s="649">
        <f t="shared" si="114"/>
        <v>0</v>
      </c>
      <c r="X162" s="650"/>
      <c r="Y162" s="649">
        <f t="shared" si="115"/>
        <v>0</v>
      </c>
      <c r="Z162" s="650"/>
      <c r="AA162" s="649">
        <f t="shared" si="116"/>
        <v>0</v>
      </c>
      <c r="AB162" s="650"/>
      <c r="AC162" s="649">
        <f t="shared" si="117"/>
        <v>0</v>
      </c>
      <c r="AD162" s="650"/>
      <c r="AE162" s="649">
        <f t="shared" si="118"/>
        <v>0</v>
      </c>
      <c r="AF162" s="650"/>
      <c r="AG162" s="649">
        <f t="shared" si="119"/>
        <v>0</v>
      </c>
      <c r="AH162" s="650"/>
      <c r="AI162" s="649">
        <f t="shared" si="120"/>
        <v>0</v>
      </c>
      <c r="AJ162" s="650"/>
      <c r="AK162" s="649">
        <f t="shared" si="121"/>
        <v>0</v>
      </c>
      <c r="AL162" s="650"/>
      <c r="AM162" s="649">
        <f t="shared" si="122"/>
        <v>0</v>
      </c>
      <c r="AN162" s="650"/>
      <c r="AO162" s="649">
        <f t="shared" si="123"/>
        <v>0</v>
      </c>
      <c r="AP162" s="650"/>
      <c r="AQ162" s="649">
        <f t="shared" si="124"/>
        <v>0</v>
      </c>
      <c r="AR162" s="650"/>
      <c r="AS162" s="651">
        <f t="shared" si="125"/>
        <v>0</v>
      </c>
      <c r="AT162" s="652"/>
      <c r="AU162" s="141">
        <f t="shared" si="138"/>
        <v>0</v>
      </c>
      <c r="AV162" s="141">
        <f t="shared" si="139"/>
        <v>0</v>
      </c>
      <c r="AW162" s="141">
        <f t="shared" si="140"/>
        <v>0</v>
      </c>
      <c r="AX162" s="141">
        <f t="shared" si="141"/>
        <v>0</v>
      </c>
      <c r="AY162" s="141">
        <f t="shared" si="142"/>
        <v>0</v>
      </c>
      <c r="AZ162" s="141">
        <f t="shared" si="143"/>
        <v>0</v>
      </c>
      <c r="BA162" s="141">
        <f t="shared" si="144"/>
        <v>0</v>
      </c>
      <c r="BB162" s="141">
        <f t="shared" si="145"/>
        <v>0</v>
      </c>
      <c r="BC162" s="141">
        <f t="shared" si="146"/>
        <v>0</v>
      </c>
      <c r="BD162" s="141">
        <f t="shared" si="147"/>
        <v>0</v>
      </c>
      <c r="BE162" s="141">
        <f t="shared" si="148"/>
        <v>0</v>
      </c>
      <c r="BF162" s="141">
        <f t="shared" si="149"/>
        <v>0</v>
      </c>
      <c r="BG162" s="141">
        <f t="shared" si="126"/>
        <v>0</v>
      </c>
      <c r="BH162" s="141">
        <f t="shared" si="127"/>
        <v>0</v>
      </c>
      <c r="BI162" s="141">
        <f t="shared" si="150"/>
        <v>0</v>
      </c>
      <c r="BJ162" s="147">
        <f t="shared" si="128"/>
        <v>0</v>
      </c>
      <c r="BK162" s="141">
        <f t="shared" si="129"/>
        <v>0</v>
      </c>
      <c r="BL162" s="141">
        <f t="shared" si="130"/>
        <v>0</v>
      </c>
      <c r="BM162" s="141">
        <f t="shared" si="131"/>
        <v>0</v>
      </c>
      <c r="BN162" s="141">
        <f t="shared" si="132"/>
        <v>0</v>
      </c>
      <c r="BO162" s="141">
        <f t="shared" si="133"/>
        <v>0</v>
      </c>
      <c r="BP162" s="141">
        <f t="shared" si="134"/>
        <v>0</v>
      </c>
      <c r="BT162" s="177"/>
      <c r="BU162" s="173"/>
      <c r="BV162" s="174"/>
      <c r="BW162" s="117"/>
      <c r="BX162" s="180"/>
      <c r="BY162" s="117"/>
      <c r="BZ162" s="181"/>
      <c r="CA162" s="182"/>
      <c r="CB162" s="176"/>
      <c r="CC162" s="176"/>
      <c r="CF162" s="170"/>
      <c r="CG162" s="171"/>
      <c r="CH162" s="170"/>
      <c r="CI162" s="171"/>
    </row>
    <row r="163" spans="2:87" s="108" customFormat="1" hidden="1">
      <c r="B163" s="109"/>
      <c r="C163" s="141" t="e">
        <f t="shared" si="109"/>
        <v>#NUM!</v>
      </c>
      <c r="D163" s="141">
        <f t="shared" si="111"/>
        <v>0</v>
      </c>
      <c r="E163" s="141" t="str">
        <f>IFERROR(DGET($BV$30:$CC$82,F163,G162:G163),"")</f>
        <v/>
      </c>
      <c r="F163" s="142">
        <f t="shared" si="135"/>
        <v>0</v>
      </c>
      <c r="G163" s="142" t="b">
        <f>IF(Q163&gt;0,IF(AND(S163&gt;0,S163&lt;2),CONCATENATE(Q163," ","0-2"),IF(AND(S163&gt;=2,S163&lt;8),CONCATENATE(Q163," ","2-8"),)))</f>
        <v>0</v>
      </c>
      <c r="H163" s="80">
        <f t="shared" si="112"/>
        <v>0</v>
      </c>
      <c r="I163" s="80" t="str">
        <f t="shared" si="136"/>
        <v/>
      </c>
      <c r="J163" s="76"/>
      <c r="K163" s="76"/>
      <c r="L163" s="76"/>
      <c r="M163" s="80"/>
      <c r="N163" s="79"/>
      <c r="O163" s="148"/>
      <c r="P163" s="77">
        <f t="shared" si="137"/>
        <v>0</v>
      </c>
      <c r="Q163" s="81"/>
      <c r="R163" s="77"/>
      <c r="S163" s="146">
        <f t="shared" si="110"/>
        <v>0</v>
      </c>
      <c r="T163" s="141" t="b">
        <f t="shared" si="151"/>
        <v>0</v>
      </c>
      <c r="U163" s="649">
        <f t="shared" si="113"/>
        <v>0</v>
      </c>
      <c r="V163" s="650"/>
      <c r="W163" s="649">
        <f t="shared" si="114"/>
        <v>0</v>
      </c>
      <c r="X163" s="650"/>
      <c r="Y163" s="649">
        <f t="shared" si="115"/>
        <v>0</v>
      </c>
      <c r="Z163" s="650"/>
      <c r="AA163" s="649">
        <f t="shared" si="116"/>
        <v>0</v>
      </c>
      <c r="AB163" s="650"/>
      <c r="AC163" s="649">
        <f t="shared" si="117"/>
        <v>0</v>
      </c>
      <c r="AD163" s="650"/>
      <c r="AE163" s="649">
        <f t="shared" si="118"/>
        <v>0</v>
      </c>
      <c r="AF163" s="650"/>
      <c r="AG163" s="649">
        <f t="shared" si="119"/>
        <v>0</v>
      </c>
      <c r="AH163" s="650"/>
      <c r="AI163" s="649">
        <f t="shared" si="120"/>
        <v>0</v>
      </c>
      <c r="AJ163" s="650"/>
      <c r="AK163" s="649">
        <f t="shared" si="121"/>
        <v>0</v>
      </c>
      <c r="AL163" s="650"/>
      <c r="AM163" s="649">
        <f t="shared" si="122"/>
        <v>0</v>
      </c>
      <c r="AN163" s="650"/>
      <c r="AO163" s="649">
        <f t="shared" si="123"/>
        <v>0</v>
      </c>
      <c r="AP163" s="650"/>
      <c r="AQ163" s="649">
        <f t="shared" si="124"/>
        <v>0</v>
      </c>
      <c r="AR163" s="650"/>
      <c r="AS163" s="651">
        <f t="shared" si="125"/>
        <v>0</v>
      </c>
      <c r="AT163" s="652"/>
      <c r="AU163" s="141">
        <f t="shared" si="138"/>
        <v>0</v>
      </c>
      <c r="AV163" s="141">
        <f t="shared" si="139"/>
        <v>0</v>
      </c>
      <c r="AW163" s="141">
        <f t="shared" si="140"/>
        <v>0</v>
      </c>
      <c r="AX163" s="141">
        <f t="shared" si="141"/>
        <v>0</v>
      </c>
      <c r="AY163" s="141">
        <f t="shared" si="142"/>
        <v>0</v>
      </c>
      <c r="AZ163" s="141">
        <f t="shared" si="143"/>
        <v>0</v>
      </c>
      <c r="BA163" s="141">
        <f t="shared" si="144"/>
        <v>0</v>
      </c>
      <c r="BB163" s="141">
        <f t="shared" si="145"/>
        <v>0</v>
      </c>
      <c r="BC163" s="141">
        <f t="shared" si="146"/>
        <v>0</v>
      </c>
      <c r="BD163" s="141">
        <f t="shared" si="147"/>
        <v>0</v>
      </c>
      <c r="BE163" s="141">
        <f t="shared" si="148"/>
        <v>0</v>
      </c>
      <c r="BF163" s="141">
        <f t="shared" si="149"/>
        <v>0</v>
      </c>
      <c r="BG163" s="141">
        <f t="shared" si="126"/>
        <v>0</v>
      </c>
      <c r="BH163" s="141">
        <f t="shared" si="127"/>
        <v>0</v>
      </c>
      <c r="BI163" s="141">
        <f t="shared" si="150"/>
        <v>0</v>
      </c>
      <c r="BJ163" s="147">
        <f t="shared" si="128"/>
        <v>0</v>
      </c>
      <c r="BK163" s="141">
        <f t="shared" si="129"/>
        <v>0</v>
      </c>
      <c r="BL163" s="141">
        <f t="shared" si="130"/>
        <v>0</v>
      </c>
      <c r="BM163" s="141">
        <f t="shared" si="131"/>
        <v>0</v>
      </c>
      <c r="BN163" s="141">
        <f t="shared" si="132"/>
        <v>0</v>
      </c>
      <c r="BO163" s="141">
        <f t="shared" si="133"/>
        <v>0</v>
      </c>
      <c r="BP163" s="141">
        <f t="shared" si="134"/>
        <v>0</v>
      </c>
      <c r="BT163" s="177"/>
      <c r="BU163" s="173"/>
      <c r="BV163" s="174"/>
      <c r="BW163" s="117"/>
      <c r="BX163" s="180"/>
      <c r="BY163" s="117"/>
      <c r="BZ163" s="181"/>
      <c r="CA163" s="182"/>
      <c r="CB163" s="176"/>
      <c r="CC163" s="176"/>
      <c r="CF163" s="170"/>
      <c r="CG163" s="171"/>
      <c r="CH163" s="170"/>
      <c r="CI163" s="171"/>
    </row>
    <row r="164" spans="2:87" s="108" customFormat="1" hidden="1">
      <c r="B164" s="109"/>
      <c r="C164" s="141" t="e">
        <f t="shared" si="109"/>
        <v>#NUM!</v>
      </c>
      <c r="D164" s="141">
        <f t="shared" si="111"/>
        <v>0</v>
      </c>
      <c r="E164" s="141"/>
      <c r="F164" s="142">
        <f t="shared" si="135"/>
        <v>0</v>
      </c>
      <c r="G164" s="143" t="s">
        <v>146</v>
      </c>
      <c r="H164" s="80">
        <f t="shared" si="112"/>
        <v>0</v>
      </c>
      <c r="I164" s="80" t="str">
        <f t="shared" si="136"/>
        <v/>
      </c>
      <c r="J164" s="144"/>
      <c r="K164" s="144"/>
      <c r="L164" s="144"/>
      <c r="M164" s="76"/>
      <c r="N164" s="77"/>
      <c r="O164" s="145"/>
      <c r="P164" s="77">
        <f t="shared" si="137"/>
        <v>0</v>
      </c>
      <c r="Q164" s="78"/>
      <c r="R164" s="79"/>
      <c r="S164" s="146">
        <f t="shared" si="110"/>
        <v>0</v>
      </c>
      <c r="T164" s="141" t="b">
        <f t="shared" si="151"/>
        <v>0</v>
      </c>
      <c r="U164" s="649">
        <f t="shared" si="113"/>
        <v>0</v>
      </c>
      <c r="V164" s="650"/>
      <c r="W164" s="649">
        <f t="shared" si="114"/>
        <v>0</v>
      </c>
      <c r="X164" s="650"/>
      <c r="Y164" s="649">
        <f t="shared" si="115"/>
        <v>0</v>
      </c>
      <c r="Z164" s="650"/>
      <c r="AA164" s="649">
        <f t="shared" si="116"/>
        <v>0</v>
      </c>
      <c r="AB164" s="650"/>
      <c r="AC164" s="649">
        <f t="shared" si="117"/>
        <v>0</v>
      </c>
      <c r="AD164" s="650"/>
      <c r="AE164" s="649">
        <f t="shared" si="118"/>
        <v>0</v>
      </c>
      <c r="AF164" s="650"/>
      <c r="AG164" s="649">
        <f t="shared" si="119"/>
        <v>0</v>
      </c>
      <c r="AH164" s="650"/>
      <c r="AI164" s="649">
        <f t="shared" si="120"/>
        <v>0</v>
      </c>
      <c r="AJ164" s="650"/>
      <c r="AK164" s="649">
        <f t="shared" si="121"/>
        <v>0</v>
      </c>
      <c r="AL164" s="650"/>
      <c r="AM164" s="649">
        <f t="shared" si="122"/>
        <v>0</v>
      </c>
      <c r="AN164" s="650"/>
      <c r="AO164" s="649">
        <f t="shared" si="123"/>
        <v>0</v>
      </c>
      <c r="AP164" s="650"/>
      <c r="AQ164" s="649">
        <f t="shared" si="124"/>
        <v>0</v>
      </c>
      <c r="AR164" s="650"/>
      <c r="AS164" s="651">
        <f t="shared" si="125"/>
        <v>0</v>
      </c>
      <c r="AT164" s="652"/>
      <c r="AU164" s="141">
        <f t="shared" si="138"/>
        <v>0</v>
      </c>
      <c r="AV164" s="141">
        <f t="shared" si="139"/>
        <v>0</v>
      </c>
      <c r="AW164" s="141">
        <f t="shared" si="140"/>
        <v>0</v>
      </c>
      <c r="AX164" s="141">
        <f t="shared" si="141"/>
        <v>0</v>
      </c>
      <c r="AY164" s="141">
        <f t="shared" si="142"/>
        <v>0</v>
      </c>
      <c r="AZ164" s="141">
        <f t="shared" si="143"/>
        <v>0</v>
      </c>
      <c r="BA164" s="141">
        <f t="shared" si="144"/>
        <v>0</v>
      </c>
      <c r="BB164" s="141">
        <f t="shared" si="145"/>
        <v>0</v>
      </c>
      <c r="BC164" s="141">
        <f t="shared" si="146"/>
        <v>0</v>
      </c>
      <c r="BD164" s="141">
        <f t="shared" si="147"/>
        <v>0</v>
      </c>
      <c r="BE164" s="141">
        <f t="shared" si="148"/>
        <v>0</v>
      </c>
      <c r="BF164" s="141">
        <f t="shared" si="149"/>
        <v>0</v>
      </c>
      <c r="BG164" s="141">
        <f t="shared" si="126"/>
        <v>0</v>
      </c>
      <c r="BH164" s="141">
        <f t="shared" si="127"/>
        <v>0</v>
      </c>
      <c r="BI164" s="141">
        <f t="shared" si="150"/>
        <v>0</v>
      </c>
      <c r="BJ164" s="147">
        <f t="shared" si="128"/>
        <v>0</v>
      </c>
      <c r="BK164" s="141">
        <f t="shared" si="129"/>
        <v>0</v>
      </c>
      <c r="BL164" s="141">
        <f t="shared" si="130"/>
        <v>0</v>
      </c>
      <c r="BM164" s="141">
        <f t="shared" si="131"/>
        <v>0</v>
      </c>
      <c r="BN164" s="141">
        <f t="shared" si="132"/>
        <v>0</v>
      </c>
      <c r="BO164" s="141">
        <f t="shared" si="133"/>
        <v>0</v>
      </c>
      <c r="BP164" s="141">
        <f t="shared" si="134"/>
        <v>0</v>
      </c>
      <c r="BT164" s="177"/>
      <c r="BU164" s="173"/>
      <c r="BV164" s="174"/>
      <c r="BW164" s="117"/>
      <c r="BX164" s="180"/>
      <c r="BY164" s="117"/>
      <c r="BZ164" s="181"/>
      <c r="CA164" s="182"/>
      <c r="CB164" s="176"/>
      <c r="CC164" s="176"/>
      <c r="CF164" s="170"/>
      <c r="CG164" s="171"/>
      <c r="CH164" s="170"/>
      <c r="CI164" s="171"/>
    </row>
    <row r="165" spans="2:87" s="108" customFormat="1" hidden="1">
      <c r="B165" s="109"/>
      <c r="C165" s="141" t="e">
        <f t="shared" si="109"/>
        <v>#NUM!</v>
      </c>
      <c r="D165" s="141">
        <f t="shared" si="111"/>
        <v>0</v>
      </c>
      <c r="E165" s="141" t="str">
        <f>IFERROR(DGET($BV$30:$CC$82,F165,G164:G165),"")</f>
        <v/>
      </c>
      <c r="F165" s="142">
        <f t="shared" si="135"/>
        <v>0</v>
      </c>
      <c r="G165" s="142" t="b">
        <f>IF(Q165&gt;0,IF(AND(S165&gt;0,S165&lt;2),CONCATENATE(Q165," ","0-2"),IF(AND(S165&gt;=2,S165&lt;8),CONCATENATE(Q165," ","2-8"),)))</f>
        <v>0</v>
      </c>
      <c r="H165" s="80">
        <f t="shared" si="112"/>
        <v>0</v>
      </c>
      <c r="I165" s="80" t="str">
        <f t="shared" si="136"/>
        <v/>
      </c>
      <c r="J165" s="76"/>
      <c r="K165" s="76"/>
      <c r="L165" s="76"/>
      <c r="M165" s="80"/>
      <c r="N165" s="79"/>
      <c r="O165" s="148"/>
      <c r="P165" s="77">
        <f t="shared" si="137"/>
        <v>0</v>
      </c>
      <c r="Q165" s="81"/>
      <c r="R165" s="77"/>
      <c r="S165" s="146">
        <f t="shared" si="110"/>
        <v>0</v>
      </c>
      <c r="T165" s="141" t="b">
        <f t="shared" si="151"/>
        <v>0</v>
      </c>
      <c r="U165" s="649">
        <f t="shared" si="113"/>
        <v>0</v>
      </c>
      <c r="V165" s="650"/>
      <c r="W165" s="649">
        <f t="shared" si="114"/>
        <v>0</v>
      </c>
      <c r="X165" s="650"/>
      <c r="Y165" s="649">
        <f t="shared" si="115"/>
        <v>0</v>
      </c>
      <c r="Z165" s="650"/>
      <c r="AA165" s="649">
        <f t="shared" si="116"/>
        <v>0</v>
      </c>
      <c r="AB165" s="650"/>
      <c r="AC165" s="649">
        <f t="shared" si="117"/>
        <v>0</v>
      </c>
      <c r="AD165" s="650"/>
      <c r="AE165" s="649">
        <f t="shared" si="118"/>
        <v>0</v>
      </c>
      <c r="AF165" s="650"/>
      <c r="AG165" s="649">
        <f t="shared" si="119"/>
        <v>0</v>
      </c>
      <c r="AH165" s="650"/>
      <c r="AI165" s="649">
        <f t="shared" si="120"/>
        <v>0</v>
      </c>
      <c r="AJ165" s="650"/>
      <c r="AK165" s="649">
        <f t="shared" si="121"/>
        <v>0</v>
      </c>
      <c r="AL165" s="650"/>
      <c r="AM165" s="649">
        <f t="shared" si="122"/>
        <v>0</v>
      </c>
      <c r="AN165" s="650"/>
      <c r="AO165" s="649">
        <f t="shared" si="123"/>
        <v>0</v>
      </c>
      <c r="AP165" s="650"/>
      <c r="AQ165" s="649">
        <f t="shared" si="124"/>
        <v>0</v>
      </c>
      <c r="AR165" s="650"/>
      <c r="AS165" s="651">
        <f t="shared" si="125"/>
        <v>0</v>
      </c>
      <c r="AT165" s="652"/>
      <c r="AU165" s="141">
        <f t="shared" si="138"/>
        <v>0</v>
      </c>
      <c r="AV165" s="141">
        <f t="shared" si="139"/>
        <v>0</v>
      </c>
      <c r="AW165" s="141">
        <f t="shared" si="140"/>
        <v>0</v>
      </c>
      <c r="AX165" s="141">
        <f t="shared" si="141"/>
        <v>0</v>
      </c>
      <c r="AY165" s="141">
        <f t="shared" si="142"/>
        <v>0</v>
      </c>
      <c r="AZ165" s="141">
        <f t="shared" si="143"/>
        <v>0</v>
      </c>
      <c r="BA165" s="141">
        <f t="shared" si="144"/>
        <v>0</v>
      </c>
      <c r="BB165" s="141">
        <f t="shared" si="145"/>
        <v>0</v>
      </c>
      <c r="BC165" s="141">
        <f t="shared" si="146"/>
        <v>0</v>
      </c>
      <c r="BD165" s="141">
        <f t="shared" si="147"/>
        <v>0</v>
      </c>
      <c r="BE165" s="141">
        <f t="shared" si="148"/>
        <v>0</v>
      </c>
      <c r="BF165" s="141">
        <f t="shared" si="149"/>
        <v>0</v>
      </c>
      <c r="BG165" s="141">
        <f t="shared" si="126"/>
        <v>0</v>
      </c>
      <c r="BH165" s="141">
        <f t="shared" si="127"/>
        <v>0</v>
      </c>
      <c r="BI165" s="141">
        <f t="shared" si="150"/>
        <v>0</v>
      </c>
      <c r="BJ165" s="147">
        <f t="shared" si="128"/>
        <v>0</v>
      </c>
      <c r="BK165" s="141">
        <f t="shared" si="129"/>
        <v>0</v>
      </c>
      <c r="BL165" s="141">
        <f t="shared" si="130"/>
        <v>0</v>
      </c>
      <c r="BM165" s="141">
        <f t="shared" si="131"/>
        <v>0</v>
      </c>
      <c r="BN165" s="141">
        <f t="shared" si="132"/>
        <v>0</v>
      </c>
      <c r="BO165" s="141">
        <f t="shared" si="133"/>
        <v>0</v>
      </c>
      <c r="BP165" s="141">
        <f t="shared" si="134"/>
        <v>0</v>
      </c>
      <c r="BT165" s="177"/>
      <c r="BU165" s="173"/>
      <c r="BV165" s="174"/>
      <c r="BW165" s="117"/>
      <c r="BX165" s="180"/>
      <c r="BY165" s="117"/>
      <c r="BZ165" s="181"/>
      <c r="CA165" s="182"/>
      <c r="CB165" s="176"/>
      <c r="CC165" s="176"/>
      <c r="CF165" s="170"/>
      <c r="CG165" s="171"/>
      <c r="CH165" s="170"/>
      <c r="CI165" s="171"/>
    </row>
    <row r="166" spans="2:87" s="108" customFormat="1" hidden="1">
      <c r="B166" s="109"/>
      <c r="C166" s="141" t="e">
        <f t="shared" si="109"/>
        <v>#NUM!</v>
      </c>
      <c r="D166" s="141">
        <f t="shared" si="111"/>
        <v>0</v>
      </c>
      <c r="E166" s="141"/>
      <c r="F166" s="142">
        <f t="shared" si="135"/>
        <v>0</v>
      </c>
      <c r="G166" s="143" t="s">
        <v>146</v>
      </c>
      <c r="H166" s="80">
        <f t="shared" si="112"/>
        <v>0</v>
      </c>
      <c r="I166" s="80" t="str">
        <f t="shared" si="136"/>
        <v/>
      </c>
      <c r="J166" s="144"/>
      <c r="K166" s="144"/>
      <c r="L166" s="144"/>
      <c r="M166" s="76"/>
      <c r="N166" s="77"/>
      <c r="O166" s="145"/>
      <c r="P166" s="77">
        <f t="shared" si="137"/>
        <v>0</v>
      </c>
      <c r="Q166" s="78"/>
      <c r="R166" s="79"/>
      <c r="S166" s="146">
        <f t="shared" si="110"/>
        <v>0</v>
      </c>
      <c r="T166" s="141" t="b">
        <f t="shared" si="151"/>
        <v>0</v>
      </c>
      <c r="U166" s="649">
        <f t="shared" si="113"/>
        <v>0</v>
      </c>
      <c r="V166" s="650"/>
      <c r="W166" s="649">
        <f t="shared" si="114"/>
        <v>0</v>
      </c>
      <c r="X166" s="650"/>
      <c r="Y166" s="649">
        <f t="shared" si="115"/>
        <v>0</v>
      </c>
      <c r="Z166" s="650"/>
      <c r="AA166" s="649">
        <f t="shared" si="116"/>
        <v>0</v>
      </c>
      <c r="AB166" s="650"/>
      <c r="AC166" s="649">
        <f t="shared" si="117"/>
        <v>0</v>
      </c>
      <c r="AD166" s="650"/>
      <c r="AE166" s="649">
        <f t="shared" si="118"/>
        <v>0</v>
      </c>
      <c r="AF166" s="650"/>
      <c r="AG166" s="649">
        <f t="shared" si="119"/>
        <v>0</v>
      </c>
      <c r="AH166" s="650"/>
      <c r="AI166" s="649">
        <f t="shared" si="120"/>
        <v>0</v>
      </c>
      <c r="AJ166" s="650"/>
      <c r="AK166" s="649">
        <f t="shared" si="121"/>
        <v>0</v>
      </c>
      <c r="AL166" s="650"/>
      <c r="AM166" s="649">
        <f t="shared" si="122"/>
        <v>0</v>
      </c>
      <c r="AN166" s="650"/>
      <c r="AO166" s="649">
        <f t="shared" si="123"/>
        <v>0</v>
      </c>
      <c r="AP166" s="650"/>
      <c r="AQ166" s="649">
        <f t="shared" si="124"/>
        <v>0</v>
      </c>
      <c r="AR166" s="650"/>
      <c r="AS166" s="651">
        <f t="shared" si="125"/>
        <v>0</v>
      </c>
      <c r="AT166" s="652"/>
      <c r="AU166" s="141">
        <f t="shared" si="138"/>
        <v>0</v>
      </c>
      <c r="AV166" s="141">
        <f t="shared" si="139"/>
        <v>0</v>
      </c>
      <c r="AW166" s="141">
        <f t="shared" si="140"/>
        <v>0</v>
      </c>
      <c r="AX166" s="141">
        <f t="shared" si="141"/>
        <v>0</v>
      </c>
      <c r="AY166" s="141">
        <f t="shared" si="142"/>
        <v>0</v>
      </c>
      <c r="AZ166" s="141">
        <f t="shared" si="143"/>
        <v>0</v>
      </c>
      <c r="BA166" s="141">
        <f t="shared" si="144"/>
        <v>0</v>
      </c>
      <c r="BB166" s="141">
        <f t="shared" si="145"/>
        <v>0</v>
      </c>
      <c r="BC166" s="141">
        <f t="shared" si="146"/>
        <v>0</v>
      </c>
      <c r="BD166" s="141">
        <f t="shared" si="147"/>
        <v>0</v>
      </c>
      <c r="BE166" s="141">
        <f t="shared" si="148"/>
        <v>0</v>
      </c>
      <c r="BF166" s="141">
        <f t="shared" si="149"/>
        <v>0</v>
      </c>
      <c r="BG166" s="141">
        <f t="shared" si="126"/>
        <v>0</v>
      </c>
      <c r="BH166" s="141">
        <f t="shared" si="127"/>
        <v>0</v>
      </c>
      <c r="BI166" s="141">
        <f t="shared" si="150"/>
        <v>0</v>
      </c>
      <c r="BJ166" s="147">
        <f t="shared" si="128"/>
        <v>0</v>
      </c>
      <c r="BK166" s="141">
        <f t="shared" si="129"/>
        <v>0</v>
      </c>
      <c r="BL166" s="141">
        <f t="shared" si="130"/>
        <v>0</v>
      </c>
      <c r="BM166" s="141">
        <f t="shared" si="131"/>
        <v>0</v>
      </c>
      <c r="BN166" s="141">
        <f t="shared" si="132"/>
        <v>0</v>
      </c>
      <c r="BO166" s="141">
        <f t="shared" si="133"/>
        <v>0</v>
      </c>
      <c r="BP166" s="141">
        <f t="shared" si="134"/>
        <v>0</v>
      </c>
      <c r="BT166" s="177"/>
      <c r="BU166" s="173"/>
      <c r="BV166" s="174"/>
      <c r="BW166" s="117"/>
      <c r="BX166" s="180"/>
      <c r="BY166" s="117"/>
      <c r="BZ166" s="181"/>
      <c r="CA166" s="182"/>
      <c r="CB166" s="176"/>
      <c r="CC166" s="176"/>
      <c r="CF166" s="170"/>
      <c r="CG166" s="171"/>
      <c r="CH166" s="170"/>
      <c r="CI166" s="171"/>
    </row>
    <row r="167" spans="2:87" s="108" customFormat="1" hidden="1">
      <c r="B167" s="109"/>
      <c r="C167" s="141" t="e">
        <f t="shared" si="109"/>
        <v>#NUM!</v>
      </c>
      <c r="D167" s="141">
        <f t="shared" si="111"/>
        <v>0</v>
      </c>
      <c r="E167" s="141" t="str">
        <f>IFERROR(DGET($BV$30:$CC$82,F167,G166:G167),"")</f>
        <v/>
      </c>
      <c r="F167" s="142">
        <f t="shared" si="135"/>
        <v>0</v>
      </c>
      <c r="G167" s="142" t="b">
        <f>IF(Q167&gt;0,IF(AND(S167&gt;0,S167&lt;2),CONCATENATE(Q167," ","0-2"),IF(AND(S167&gt;=2,S167&lt;8),CONCATENATE(Q167," ","2-8"),)))</f>
        <v>0</v>
      </c>
      <c r="H167" s="80">
        <f t="shared" si="112"/>
        <v>0</v>
      </c>
      <c r="I167" s="80" t="str">
        <f t="shared" si="136"/>
        <v/>
      </c>
      <c r="J167" s="76"/>
      <c r="K167" s="76"/>
      <c r="L167" s="76"/>
      <c r="M167" s="80"/>
      <c r="N167" s="79"/>
      <c r="O167" s="148"/>
      <c r="P167" s="77">
        <f t="shared" si="137"/>
        <v>0</v>
      </c>
      <c r="Q167" s="81"/>
      <c r="R167" s="77"/>
      <c r="S167" s="146">
        <f t="shared" si="110"/>
        <v>0</v>
      </c>
      <c r="T167" s="141" t="b">
        <f t="shared" si="151"/>
        <v>0</v>
      </c>
      <c r="U167" s="649">
        <f t="shared" si="113"/>
        <v>0</v>
      </c>
      <c r="V167" s="650"/>
      <c r="W167" s="649">
        <f t="shared" si="114"/>
        <v>0</v>
      </c>
      <c r="X167" s="650"/>
      <c r="Y167" s="649">
        <f t="shared" si="115"/>
        <v>0</v>
      </c>
      <c r="Z167" s="650"/>
      <c r="AA167" s="649">
        <f t="shared" si="116"/>
        <v>0</v>
      </c>
      <c r="AB167" s="650"/>
      <c r="AC167" s="649">
        <f t="shared" si="117"/>
        <v>0</v>
      </c>
      <c r="AD167" s="650"/>
      <c r="AE167" s="649">
        <f t="shared" si="118"/>
        <v>0</v>
      </c>
      <c r="AF167" s="650"/>
      <c r="AG167" s="649">
        <f t="shared" si="119"/>
        <v>0</v>
      </c>
      <c r="AH167" s="650"/>
      <c r="AI167" s="649">
        <f t="shared" si="120"/>
        <v>0</v>
      </c>
      <c r="AJ167" s="650"/>
      <c r="AK167" s="649">
        <f t="shared" si="121"/>
        <v>0</v>
      </c>
      <c r="AL167" s="650"/>
      <c r="AM167" s="649">
        <f t="shared" si="122"/>
        <v>0</v>
      </c>
      <c r="AN167" s="650"/>
      <c r="AO167" s="649">
        <f t="shared" si="123"/>
        <v>0</v>
      </c>
      <c r="AP167" s="650"/>
      <c r="AQ167" s="649">
        <f t="shared" si="124"/>
        <v>0</v>
      </c>
      <c r="AR167" s="650"/>
      <c r="AS167" s="651">
        <f t="shared" si="125"/>
        <v>0</v>
      </c>
      <c r="AT167" s="652"/>
      <c r="AU167" s="141">
        <f t="shared" si="138"/>
        <v>0</v>
      </c>
      <c r="AV167" s="141">
        <f t="shared" si="139"/>
        <v>0</v>
      </c>
      <c r="AW167" s="141">
        <f t="shared" si="140"/>
        <v>0</v>
      </c>
      <c r="AX167" s="141">
        <f t="shared" si="141"/>
        <v>0</v>
      </c>
      <c r="AY167" s="141">
        <f t="shared" si="142"/>
        <v>0</v>
      </c>
      <c r="AZ167" s="141">
        <f t="shared" si="143"/>
        <v>0</v>
      </c>
      <c r="BA167" s="141">
        <f t="shared" si="144"/>
        <v>0</v>
      </c>
      <c r="BB167" s="141">
        <f t="shared" si="145"/>
        <v>0</v>
      </c>
      <c r="BC167" s="141">
        <f t="shared" si="146"/>
        <v>0</v>
      </c>
      <c r="BD167" s="141">
        <f t="shared" si="147"/>
        <v>0</v>
      </c>
      <c r="BE167" s="141">
        <f t="shared" si="148"/>
        <v>0</v>
      </c>
      <c r="BF167" s="141">
        <f t="shared" si="149"/>
        <v>0</v>
      </c>
      <c r="BG167" s="141">
        <f t="shared" si="126"/>
        <v>0</v>
      </c>
      <c r="BH167" s="141">
        <f t="shared" si="127"/>
        <v>0</v>
      </c>
      <c r="BI167" s="141">
        <f t="shared" si="150"/>
        <v>0</v>
      </c>
      <c r="BJ167" s="147">
        <f t="shared" si="128"/>
        <v>0</v>
      </c>
      <c r="BK167" s="141">
        <f t="shared" si="129"/>
        <v>0</v>
      </c>
      <c r="BL167" s="141">
        <f t="shared" si="130"/>
        <v>0</v>
      </c>
      <c r="BM167" s="141">
        <f t="shared" si="131"/>
        <v>0</v>
      </c>
      <c r="BN167" s="141">
        <f t="shared" si="132"/>
        <v>0</v>
      </c>
      <c r="BO167" s="141">
        <f t="shared" si="133"/>
        <v>0</v>
      </c>
      <c r="BP167" s="141">
        <f t="shared" si="134"/>
        <v>0</v>
      </c>
      <c r="BT167" s="177"/>
      <c r="BU167" s="173"/>
      <c r="BV167" s="174"/>
      <c r="BW167" s="117"/>
      <c r="BX167" s="180"/>
      <c r="BY167" s="117"/>
      <c r="BZ167" s="181"/>
      <c r="CA167" s="182"/>
      <c r="CB167" s="176"/>
      <c r="CC167" s="176"/>
      <c r="CF167" s="170"/>
      <c r="CG167" s="171"/>
      <c r="CH167" s="170"/>
      <c r="CI167" s="171"/>
    </row>
    <row r="168" spans="2:87" s="108" customFormat="1" hidden="1">
      <c r="B168" s="109"/>
      <c r="C168" s="141" t="e">
        <f t="shared" si="109"/>
        <v>#NUM!</v>
      </c>
      <c r="D168" s="141">
        <f t="shared" si="111"/>
        <v>0</v>
      </c>
      <c r="E168" s="141"/>
      <c r="F168" s="142">
        <f t="shared" si="135"/>
        <v>0</v>
      </c>
      <c r="G168" s="143" t="s">
        <v>146</v>
      </c>
      <c r="H168" s="80">
        <f t="shared" si="112"/>
        <v>0</v>
      </c>
      <c r="I168" s="80" t="str">
        <f t="shared" si="136"/>
        <v/>
      </c>
      <c r="J168" s="144"/>
      <c r="K168" s="144"/>
      <c r="L168" s="144"/>
      <c r="M168" s="76"/>
      <c r="N168" s="77"/>
      <c r="O168" s="145"/>
      <c r="P168" s="77">
        <f t="shared" si="137"/>
        <v>0</v>
      </c>
      <c r="Q168" s="78"/>
      <c r="R168" s="79"/>
      <c r="S168" s="146">
        <f t="shared" si="110"/>
        <v>0</v>
      </c>
      <c r="T168" s="141" t="b">
        <f t="shared" si="151"/>
        <v>0</v>
      </c>
      <c r="U168" s="649">
        <f t="shared" si="113"/>
        <v>0</v>
      </c>
      <c r="V168" s="650"/>
      <c r="W168" s="649">
        <f t="shared" si="114"/>
        <v>0</v>
      </c>
      <c r="X168" s="650"/>
      <c r="Y168" s="649">
        <f t="shared" si="115"/>
        <v>0</v>
      </c>
      <c r="Z168" s="650"/>
      <c r="AA168" s="649">
        <f t="shared" si="116"/>
        <v>0</v>
      </c>
      <c r="AB168" s="650"/>
      <c r="AC168" s="649">
        <f t="shared" si="117"/>
        <v>0</v>
      </c>
      <c r="AD168" s="650"/>
      <c r="AE168" s="649">
        <f t="shared" si="118"/>
        <v>0</v>
      </c>
      <c r="AF168" s="650"/>
      <c r="AG168" s="649">
        <f t="shared" si="119"/>
        <v>0</v>
      </c>
      <c r="AH168" s="650"/>
      <c r="AI168" s="649">
        <f t="shared" si="120"/>
        <v>0</v>
      </c>
      <c r="AJ168" s="650"/>
      <c r="AK168" s="649">
        <f t="shared" si="121"/>
        <v>0</v>
      </c>
      <c r="AL168" s="650"/>
      <c r="AM168" s="649">
        <f t="shared" si="122"/>
        <v>0</v>
      </c>
      <c r="AN168" s="650"/>
      <c r="AO168" s="649">
        <f t="shared" si="123"/>
        <v>0</v>
      </c>
      <c r="AP168" s="650"/>
      <c r="AQ168" s="649">
        <f t="shared" si="124"/>
        <v>0</v>
      </c>
      <c r="AR168" s="650"/>
      <c r="AS168" s="651">
        <f t="shared" si="125"/>
        <v>0</v>
      </c>
      <c r="AT168" s="652"/>
      <c r="AU168" s="141">
        <f t="shared" si="138"/>
        <v>0</v>
      </c>
      <c r="AV168" s="141">
        <f t="shared" si="139"/>
        <v>0</v>
      </c>
      <c r="AW168" s="141">
        <f t="shared" si="140"/>
        <v>0</v>
      </c>
      <c r="AX168" s="141">
        <f t="shared" si="141"/>
        <v>0</v>
      </c>
      <c r="AY168" s="141">
        <f t="shared" si="142"/>
        <v>0</v>
      </c>
      <c r="AZ168" s="141">
        <f t="shared" si="143"/>
        <v>0</v>
      </c>
      <c r="BA168" s="141">
        <f t="shared" si="144"/>
        <v>0</v>
      </c>
      <c r="BB168" s="141">
        <f t="shared" si="145"/>
        <v>0</v>
      </c>
      <c r="BC168" s="141">
        <f t="shared" si="146"/>
        <v>0</v>
      </c>
      <c r="BD168" s="141">
        <f t="shared" si="147"/>
        <v>0</v>
      </c>
      <c r="BE168" s="141">
        <f t="shared" si="148"/>
        <v>0</v>
      </c>
      <c r="BF168" s="141">
        <f t="shared" si="149"/>
        <v>0</v>
      </c>
      <c r="BG168" s="141">
        <f t="shared" si="126"/>
        <v>0</v>
      </c>
      <c r="BH168" s="141">
        <f t="shared" si="127"/>
        <v>0</v>
      </c>
      <c r="BI168" s="141">
        <f t="shared" si="150"/>
        <v>0</v>
      </c>
      <c r="BJ168" s="147">
        <f t="shared" si="128"/>
        <v>0</v>
      </c>
      <c r="BK168" s="141">
        <f t="shared" si="129"/>
        <v>0</v>
      </c>
      <c r="BL168" s="141">
        <f t="shared" si="130"/>
        <v>0</v>
      </c>
      <c r="BM168" s="141">
        <f t="shared" si="131"/>
        <v>0</v>
      </c>
      <c r="BN168" s="141">
        <f t="shared" si="132"/>
        <v>0</v>
      </c>
      <c r="BO168" s="141">
        <f t="shared" si="133"/>
        <v>0</v>
      </c>
      <c r="BP168" s="141">
        <f t="shared" si="134"/>
        <v>0</v>
      </c>
      <c r="BT168" s="177"/>
      <c r="BU168" s="173"/>
      <c r="BV168" s="174"/>
      <c r="BW168" s="117"/>
      <c r="BX168" s="180"/>
      <c r="BY168" s="117"/>
      <c r="BZ168" s="181"/>
      <c r="CA168" s="182"/>
      <c r="CB168" s="176"/>
      <c r="CC168" s="176"/>
      <c r="CF168" s="170"/>
      <c r="CG168" s="171"/>
      <c r="CH168" s="170"/>
      <c r="CI168" s="171"/>
    </row>
    <row r="169" spans="2:87" s="108" customFormat="1" hidden="1">
      <c r="B169" s="109"/>
      <c r="C169" s="141" t="e">
        <f t="shared" si="109"/>
        <v>#NUM!</v>
      </c>
      <c r="D169" s="141">
        <f t="shared" si="111"/>
        <v>0</v>
      </c>
      <c r="E169" s="141" t="str">
        <f>IFERROR(DGET($BV$30:$CC$82,F169,G168:G169),"")</f>
        <v/>
      </c>
      <c r="F169" s="142">
        <f t="shared" si="135"/>
        <v>0</v>
      </c>
      <c r="G169" s="142" t="b">
        <f>IF(Q169&gt;0,IF(AND(S169&gt;0,S169&lt;2),CONCATENATE(Q169," ","0-2"),IF(AND(S169&gt;=2,S169&lt;8),CONCATENATE(Q169," ","2-8"),)))</f>
        <v>0</v>
      </c>
      <c r="H169" s="80">
        <f t="shared" si="112"/>
        <v>0</v>
      </c>
      <c r="I169" s="80" t="str">
        <f t="shared" si="136"/>
        <v/>
      </c>
      <c r="J169" s="76"/>
      <c r="K169" s="76"/>
      <c r="L169" s="76"/>
      <c r="M169" s="80"/>
      <c r="N169" s="79"/>
      <c r="O169" s="148"/>
      <c r="P169" s="77">
        <f t="shared" si="137"/>
        <v>0</v>
      </c>
      <c r="Q169" s="81"/>
      <c r="R169" s="77"/>
      <c r="S169" s="146">
        <f t="shared" si="110"/>
        <v>0</v>
      </c>
      <c r="T169" s="141" t="b">
        <f t="shared" si="151"/>
        <v>0</v>
      </c>
      <c r="U169" s="649">
        <f t="shared" si="113"/>
        <v>0</v>
      </c>
      <c r="V169" s="650"/>
      <c r="W169" s="649">
        <f t="shared" si="114"/>
        <v>0</v>
      </c>
      <c r="X169" s="650"/>
      <c r="Y169" s="649">
        <f t="shared" si="115"/>
        <v>0</v>
      </c>
      <c r="Z169" s="650"/>
      <c r="AA169" s="649">
        <f t="shared" si="116"/>
        <v>0</v>
      </c>
      <c r="AB169" s="650"/>
      <c r="AC169" s="649">
        <f t="shared" si="117"/>
        <v>0</v>
      </c>
      <c r="AD169" s="650"/>
      <c r="AE169" s="649">
        <f t="shared" si="118"/>
        <v>0</v>
      </c>
      <c r="AF169" s="650"/>
      <c r="AG169" s="649">
        <f t="shared" si="119"/>
        <v>0</v>
      </c>
      <c r="AH169" s="650"/>
      <c r="AI169" s="649">
        <f t="shared" si="120"/>
        <v>0</v>
      </c>
      <c r="AJ169" s="650"/>
      <c r="AK169" s="649">
        <f t="shared" si="121"/>
        <v>0</v>
      </c>
      <c r="AL169" s="650"/>
      <c r="AM169" s="649">
        <f t="shared" si="122"/>
        <v>0</v>
      </c>
      <c r="AN169" s="650"/>
      <c r="AO169" s="649">
        <f t="shared" si="123"/>
        <v>0</v>
      </c>
      <c r="AP169" s="650"/>
      <c r="AQ169" s="649">
        <f t="shared" si="124"/>
        <v>0</v>
      </c>
      <c r="AR169" s="650"/>
      <c r="AS169" s="651">
        <f t="shared" si="125"/>
        <v>0</v>
      </c>
      <c r="AT169" s="652"/>
      <c r="AU169" s="141">
        <f t="shared" si="138"/>
        <v>0</v>
      </c>
      <c r="AV169" s="141">
        <f t="shared" si="139"/>
        <v>0</v>
      </c>
      <c r="AW169" s="141">
        <f t="shared" si="140"/>
        <v>0</v>
      </c>
      <c r="AX169" s="141">
        <f t="shared" si="141"/>
        <v>0</v>
      </c>
      <c r="AY169" s="141">
        <f t="shared" si="142"/>
        <v>0</v>
      </c>
      <c r="AZ169" s="141">
        <f t="shared" si="143"/>
        <v>0</v>
      </c>
      <c r="BA169" s="141">
        <f t="shared" si="144"/>
        <v>0</v>
      </c>
      <c r="BB169" s="141">
        <f t="shared" si="145"/>
        <v>0</v>
      </c>
      <c r="BC169" s="141">
        <f t="shared" si="146"/>
        <v>0</v>
      </c>
      <c r="BD169" s="141">
        <f t="shared" si="147"/>
        <v>0</v>
      </c>
      <c r="BE169" s="141">
        <f t="shared" si="148"/>
        <v>0</v>
      </c>
      <c r="BF169" s="141">
        <f t="shared" si="149"/>
        <v>0</v>
      </c>
      <c r="BG169" s="141">
        <f t="shared" si="126"/>
        <v>0</v>
      </c>
      <c r="BH169" s="141">
        <f t="shared" si="127"/>
        <v>0</v>
      </c>
      <c r="BI169" s="141">
        <f t="shared" si="150"/>
        <v>0</v>
      </c>
      <c r="BJ169" s="147">
        <f t="shared" si="128"/>
        <v>0</v>
      </c>
      <c r="BK169" s="141">
        <f t="shared" si="129"/>
        <v>0</v>
      </c>
      <c r="BL169" s="141">
        <f t="shared" si="130"/>
        <v>0</v>
      </c>
      <c r="BM169" s="141">
        <f t="shared" si="131"/>
        <v>0</v>
      </c>
      <c r="BN169" s="141">
        <f t="shared" si="132"/>
        <v>0</v>
      </c>
      <c r="BO169" s="141">
        <f t="shared" si="133"/>
        <v>0</v>
      </c>
      <c r="BP169" s="141">
        <f t="shared" si="134"/>
        <v>0</v>
      </c>
      <c r="BT169" s="177"/>
      <c r="BU169" s="173"/>
      <c r="BV169" s="174"/>
      <c r="BW169" s="117"/>
      <c r="BX169" s="180"/>
      <c r="BY169" s="117"/>
      <c r="BZ169" s="181"/>
      <c r="CA169" s="182"/>
      <c r="CB169" s="176"/>
      <c r="CC169" s="176"/>
      <c r="CF169" s="170"/>
      <c r="CG169" s="171"/>
      <c r="CH169" s="170"/>
      <c r="CI169" s="171"/>
    </row>
    <row r="170" spans="2:87" s="108" customFormat="1" hidden="1">
      <c r="B170" s="109"/>
      <c r="C170" s="141" t="e">
        <f t="shared" si="109"/>
        <v>#NUM!</v>
      </c>
      <c r="D170" s="141">
        <f t="shared" si="111"/>
        <v>0</v>
      </c>
      <c r="E170" s="141"/>
      <c r="F170" s="142">
        <f t="shared" si="135"/>
        <v>0</v>
      </c>
      <c r="G170" s="143" t="s">
        <v>146</v>
      </c>
      <c r="H170" s="80">
        <f t="shared" si="112"/>
        <v>0</v>
      </c>
      <c r="I170" s="80" t="str">
        <f t="shared" si="136"/>
        <v/>
      </c>
      <c r="J170" s="144"/>
      <c r="K170" s="144"/>
      <c r="L170" s="144"/>
      <c r="M170" s="76"/>
      <c r="N170" s="77"/>
      <c r="O170" s="145"/>
      <c r="P170" s="77">
        <f t="shared" si="137"/>
        <v>0</v>
      </c>
      <c r="Q170" s="78"/>
      <c r="R170" s="79"/>
      <c r="S170" s="146">
        <f t="shared" si="110"/>
        <v>0</v>
      </c>
      <c r="T170" s="141" t="b">
        <f t="shared" si="151"/>
        <v>0</v>
      </c>
      <c r="U170" s="649">
        <f t="shared" si="113"/>
        <v>0</v>
      </c>
      <c r="V170" s="650"/>
      <c r="W170" s="649">
        <f t="shared" si="114"/>
        <v>0</v>
      </c>
      <c r="X170" s="650"/>
      <c r="Y170" s="649">
        <f t="shared" si="115"/>
        <v>0</v>
      </c>
      <c r="Z170" s="650"/>
      <c r="AA170" s="649">
        <f t="shared" si="116"/>
        <v>0</v>
      </c>
      <c r="AB170" s="650"/>
      <c r="AC170" s="649">
        <f t="shared" si="117"/>
        <v>0</v>
      </c>
      <c r="AD170" s="650"/>
      <c r="AE170" s="649">
        <f t="shared" si="118"/>
        <v>0</v>
      </c>
      <c r="AF170" s="650"/>
      <c r="AG170" s="649">
        <f t="shared" si="119"/>
        <v>0</v>
      </c>
      <c r="AH170" s="650"/>
      <c r="AI170" s="649">
        <f t="shared" si="120"/>
        <v>0</v>
      </c>
      <c r="AJ170" s="650"/>
      <c r="AK170" s="649">
        <f t="shared" si="121"/>
        <v>0</v>
      </c>
      <c r="AL170" s="650"/>
      <c r="AM170" s="649">
        <f t="shared" si="122"/>
        <v>0</v>
      </c>
      <c r="AN170" s="650"/>
      <c r="AO170" s="649">
        <f t="shared" si="123"/>
        <v>0</v>
      </c>
      <c r="AP170" s="650"/>
      <c r="AQ170" s="649">
        <f t="shared" si="124"/>
        <v>0</v>
      </c>
      <c r="AR170" s="650"/>
      <c r="AS170" s="651">
        <f t="shared" si="125"/>
        <v>0</v>
      </c>
      <c r="AT170" s="652"/>
      <c r="AU170" s="141">
        <f t="shared" si="138"/>
        <v>0</v>
      </c>
      <c r="AV170" s="141">
        <f t="shared" si="139"/>
        <v>0</v>
      </c>
      <c r="AW170" s="141">
        <f t="shared" si="140"/>
        <v>0</v>
      </c>
      <c r="AX170" s="141">
        <f t="shared" si="141"/>
        <v>0</v>
      </c>
      <c r="AY170" s="141">
        <f t="shared" si="142"/>
        <v>0</v>
      </c>
      <c r="AZ170" s="141">
        <f t="shared" si="143"/>
        <v>0</v>
      </c>
      <c r="BA170" s="141">
        <f t="shared" si="144"/>
        <v>0</v>
      </c>
      <c r="BB170" s="141">
        <f t="shared" si="145"/>
        <v>0</v>
      </c>
      <c r="BC170" s="141">
        <f t="shared" si="146"/>
        <v>0</v>
      </c>
      <c r="BD170" s="141">
        <f t="shared" si="147"/>
        <v>0</v>
      </c>
      <c r="BE170" s="141">
        <f t="shared" si="148"/>
        <v>0</v>
      </c>
      <c r="BF170" s="141">
        <f t="shared" si="149"/>
        <v>0</v>
      </c>
      <c r="BG170" s="141">
        <f t="shared" si="126"/>
        <v>0</v>
      </c>
      <c r="BH170" s="141">
        <f t="shared" si="127"/>
        <v>0</v>
      </c>
      <c r="BI170" s="141">
        <f t="shared" si="150"/>
        <v>0</v>
      </c>
      <c r="BJ170" s="147">
        <f t="shared" si="128"/>
        <v>0</v>
      </c>
      <c r="BK170" s="141">
        <f t="shared" si="129"/>
        <v>0</v>
      </c>
      <c r="BL170" s="141">
        <f t="shared" si="130"/>
        <v>0</v>
      </c>
      <c r="BM170" s="141">
        <f t="shared" si="131"/>
        <v>0</v>
      </c>
      <c r="BN170" s="141">
        <f t="shared" si="132"/>
        <v>0</v>
      </c>
      <c r="BO170" s="141">
        <f t="shared" si="133"/>
        <v>0</v>
      </c>
      <c r="BP170" s="141">
        <f t="shared" si="134"/>
        <v>0</v>
      </c>
      <c r="BT170" s="177"/>
      <c r="BU170" s="173"/>
      <c r="BV170" s="174"/>
      <c r="BW170" s="117"/>
      <c r="BX170" s="180"/>
      <c r="BY170" s="117"/>
      <c r="BZ170" s="181"/>
      <c r="CA170" s="182"/>
      <c r="CB170" s="176"/>
      <c r="CC170" s="176"/>
      <c r="CF170" s="170"/>
      <c r="CG170" s="171"/>
      <c r="CH170" s="170"/>
      <c r="CI170" s="171"/>
    </row>
    <row r="171" spans="2:87" s="108" customFormat="1" hidden="1">
      <c r="B171" s="109"/>
      <c r="C171" s="141" t="e">
        <f t="shared" si="109"/>
        <v>#NUM!</v>
      </c>
      <c r="D171" s="141">
        <f t="shared" si="111"/>
        <v>0</v>
      </c>
      <c r="E171" s="141" t="str">
        <f>IFERROR(DGET($BV$30:$CC$82,F171,G170:G171),"")</f>
        <v/>
      </c>
      <c r="F171" s="142">
        <f t="shared" si="135"/>
        <v>0</v>
      </c>
      <c r="G171" s="142" t="b">
        <f>IF(Q171&gt;0,IF(AND(S171&gt;0,S171&lt;2),CONCATENATE(Q171," ","0-2"),IF(AND(S171&gt;=2,S171&lt;8),CONCATENATE(Q171," ","2-8"),)))</f>
        <v>0</v>
      </c>
      <c r="H171" s="80">
        <f t="shared" si="112"/>
        <v>0</v>
      </c>
      <c r="I171" s="80" t="str">
        <f t="shared" si="136"/>
        <v/>
      </c>
      <c r="J171" s="76"/>
      <c r="K171" s="76"/>
      <c r="L171" s="76"/>
      <c r="M171" s="80"/>
      <c r="N171" s="79"/>
      <c r="O171" s="148"/>
      <c r="P171" s="77">
        <f t="shared" si="137"/>
        <v>0</v>
      </c>
      <c r="Q171" s="81"/>
      <c r="R171" s="77"/>
      <c r="S171" s="146">
        <f t="shared" si="110"/>
        <v>0</v>
      </c>
      <c r="T171" s="141" t="b">
        <f t="shared" si="151"/>
        <v>0</v>
      </c>
      <c r="U171" s="649">
        <f t="shared" si="113"/>
        <v>0</v>
      </c>
      <c r="V171" s="650"/>
      <c r="W171" s="649">
        <f t="shared" si="114"/>
        <v>0</v>
      </c>
      <c r="X171" s="650"/>
      <c r="Y171" s="649">
        <f t="shared" si="115"/>
        <v>0</v>
      </c>
      <c r="Z171" s="650"/>
      <c r="AA171" s="649">
        <f t="shared" si="116"/>
        <v>0</v>
      </c>
      <c r="AB171" s="650"/>
      <c r="AC171" s="649">
        <f t="shared" si="117"/>
        <v>0</v>
      </c>
      <c r="AD171" s="650"/>
      <c r="AE171" s="649">
        <f t="shared" si="118"/>
        <v>0</v>
      </c>
      <c r="AF171" s="650"/>
      <c r="AG171" s="649">
        <f t="shared" si="119"/>
        <v>0</v>
      </c>
      <c r="AH171" s="650"/>
      <c r="AI171" s="649">
        <f t="shared" si="120"/>
        <v>0</v>
      </c>
      <c r="AJ171" s="650"/>
      <c r="AK171" s="649">
        <f t="shared" si="121"/>
        <v>0</v>
      </c>
      <c r="AL171" s="650"/>
      <c r="AM171" s="649">
        <f t="shared" si="122"/>
        <v>0</v>
      </c>
      <c r="AN171" s="650"/>
      <c r="AO171" s="649">
        <f t="shared" si="123"/>
        <v>0</v>
      </c>
      <c r="AP171" s="650"/>
      <c r="AQ171" s="649">
        <f t="shared" si="124"/>
        <v>0</v>
      </c>
      <c r="AR171" s="650"/>
      <c r="AS171" s="651">
        <f t="shared" si="125"/>
        <v>0</v>
      </c>
      <c r="AT171" s="652"/>
      <c r="AU171" s="141">
        <f t="shared" si="138"/>
        <v>0</v>
      </c>
      <c r="AV171" s="141">
        <f t="shared" si="139"/>
        <v>0</v>
      </c>
      <c r="AW171" s="141">
        <f t="shared" si="140"/>
        <v>0</v>
      </c>
      <c r="AX171" s="141">
        <f t="shared" si="141"/>
        <v>0</v>
      </c>
      <c r="AY171" s="141">
        <f t="shared" si="142"/>
        <v>0</v>
      </c>
      <c r="AZ171" s="141">
        <f t="shared" si="143"/>
        <v>0</v>
      </c>
      <c r="BA171" s="141">
        <f t="shared" si="144"/>
        <v>0</v>
      </c>
      <c r="BB171" s="141">
        <f t="shared" si="145"/>
        <v>0</v>
      </c>
      <c r="BC171" s="141">
        <f t="shared" si="146"/>
        <v>0</v>
      </c>
      <c r="BD171" s="141">
        <f t="shared" si="147"/>
        <v>0</v>
      </c>
      <c r="BE171" s="141">
        <f t="shared" si="148"/>
        <v>0</v>
      </c>
      <c r="BF171" s="141">
        <f t="shared" si="149"/>
        <v>0</v>
      </c>
      <c r="BG171" s="141">
        <f t="shared" si="126"/>
        <v>0</v>
      </c>
      <c r="BH171" s="141">
        <f t="shared" si="127"/>
        <v>0</v>
      </c>
      <c r="BI171" s="141">
        <f t="shared" si="150"/>
        <v>0</v>
      </c>
      <c r="BJ171" s="147">
        <f t="shared" si="128"/>
        <v>0</v>
      </c>
      <c r="BK171" s="141">
        <f t="shared" si="129"/>
        <v>0</v>
      </c>
      <c r="BL171" s="141">
        <f t="shared" si="130"/>
        <v>0</v>
      </c>
      <c r="BM171" s="141">
        <f t="shared" si="131"/>
        <v>0</v>
      </c>
      <c r="BN171" s="141">
        <f t="shared" si="132"/>
        <v>0</v>
      </c>
      <c r="BO171" s="141">
        <f t="shared" si="133"/>
        <v>0</v>
      </c>
      <c r="BP171" s="141">
        <f t="shared" si="134"/>
        <v>0</v>
      </c>
      <c r="BT171" s="177"/>
      <c r="BU171" s="173"/>
      <c r="BV171" s="174"/>
      <c r="BW171" s="117"/>
      <c r="BX171" s="180"/>
      <c r="BY171" s="117"/>
      <c r="BZ171" s="181"/>
      <c r="CA171" s="182"/>
      <c r="CB171" s="176"/>
      <c r="CC171" s="176"/>
      <c r="CF171" s="170"/>
      <c r="CG171" s="171"/>
      <c r="CH171" s="170"/>
      <c r="CI171" s="171"/>
    </row>
    <row r="172" spans="2:87" s="108" customFormat="1" hidden="1">
      <c r="B172" s="109"/>
      <c r="C172" s="141" t="e">
        <f t="shared" si="109"/>
        <v>#NUM!</v>
      </c>
      <c r="D172" s="141">
        <f t="shared" si="111"/>
        <v>0</v>
      </c>
      <c r="E172" s="141"/>
      <c r="F172" s="142">
        <f t="shared" si="135"/>
        <v>0</v>
      </c>
      <c r="G172" s="143" t="s">
        <v>146</v>
      </c>
      <c r="H172" s="80">
        <f t="shared" si="112"/>
        <v>0</v>
      </c>
      <c r="I172" s="80" t="str">
        <f t="shared" si="136"/>
        <v/>
      </c>
      <c r="J172" s="144"/>
      <c r="K172" s="144"/>
      <c r="L172" s="144"/>
      <c r="M172" s="76"/>
      <c r="N172" s="77"/>
      <c r="O172" s="145"/>
      <c r="P172" s="77">
        <f t="shared" si="137"/>
        <v>0</v>
      </c>
      <c r="Q172" s="78"/>
      <c r="R172" s="79"/>
      <c r="S172" s="146">
        <f t="shared" si="110"/>
        <v>0</v>
      </c>
      <c r="T172" s="141" t="b">
        <f t="shared" si="151"/>
        <v>0</v>
      </c>
      <c r="U172" s="649">
        <f t="shared" si="113"/>
        <v>0</v>
      </c>
      <c r="V172" s="650"/>
      <c r="W172" s="649">
        <f t="shared" si="114"/>
        <v>0</v>
      </c>
      <c r="X172" s="650"/>
      <c r="Y172" s="649">
        <f t="shared" si="115"/>
        <v>0</v>
      </c>
      <c r="Z172" s="650"/>
      <c r="AA172" s="649">
        <f t="shared" si="116"/>
        <v>0</v>
      </c>
      <c r="AB172" s="650"/>
      <c r="AC172" s="649">
        <f t="shared" si="117"/>
        <v>0</v>
      </c>
      <c r="AD172" s="650"/>
      <c r="AE172" s="649">
        <f t="shared" si="118"/>
        <v>0</v>
      </c>
      <c r="AF172" s="650"/>
      <c r="AG172" s="649">
        <f t="shared" si="119"/>
        <v>0</v>
      </c>
      <c r="AH172" s="650"/>
      <c r="AI172" s="649">
        <f t="shared" si="120"/>
        <v>0</v>
      </c>
      <c r="AJ172" s="650"/>
      <c r="AK172" s="649">
        <f t="shared" si="121"/>
        <v>0</v>
      </c>
      <c r="AL172" s="650"/>
      <c r="AM172" s="649">
        <f t="shared" si="122"/>
        <v>0</v>
      </c>
      <c r="AN172" s="650"/>
      <c r="AO172" s="649">
        <f t="shared" si="123"/>
        <v>0</v>
      </c>
      <c r="AP172" s="650"/>
      <c r="AQ172" s="649">
        <f t="shared" si="124"/>
        <v>0</v>
      </c>
      <c r="AR172" s="650"/>
      <c r="AS172" s="651">
        <f t="shared" si="125"/>
        <v>0</v>
      </c>
      <c r="AT172" s="652"/>
      <c r="AU172" s="141">
        <f t="shared" si="138"/>
        <v>0</v>
      </c>
      <c r="AV172" s="141">
        <f t="shared" si="139"/>
        <v>0</v>
      </c>
      <c r="AW172" s="141">
        <f t="shared" si="140"/>
        <v>0</v>
      </c>
      <c r="AX172" s="141">
        <f t="shared" si="141"/>
        <v>0</v>
      </c>
      <c r="AY172" s="141">
        <f t="shared" si="142"/>
        <v>0</v>
      </c>
      <c r="AZ172" s="141">
        <f t="shared" si="143"/>
        <v>0</v>
      </c>
      <c r="BA172" s="141">
        <f t="shared" si="144"/>
        <v>0</v>
      </c>
      <c r="BB172" s="141">
        <f t="shared" si="145"/>
        <v>0</v>
      </c>
      <c r="BC172" s="141">
        <f t="shared" si="146"/>
        <v>0</v>
      </c>
      <c r="BD172" s="141">
        <f t="shared" si="147"/>
        <v>0</v>
      </c>
      <c r="BE172" s="141">
        <f t="shared" si="148"/>
        <v>0</v>
      </c>
      <c r="BF172" s="141">
        <f t="shared" si="149"/>
        <v>0</v>
      </c>
      <c r="BG172" s="141">
        <f t="shared" si="126"/>
        <v>0</v>
      </c>
      <c r="BH172" s="141">
        <f t="shared" si="127"/>
        <v>0</v>
      </c>
      <c r="BI172" s="141">
        <f t="shared" si="150"/>
        <v>0</v>
      </c>
      <c r="BJ172" s="147">
        <f t="shared" si="128"/>
        <v>0</v>
      </c>
      <c r="BK172" s="141">
        <f t="shared" si="129"/>
        <v>0</v>
      </c>
      <c r="BL172" s="141">
        <f t="shared" si="130"/>
        <v>0</v>
      </c>
      <c r="BM172" s="141">
        <f t="shared" si="131"/>
        <v>0</v>
      </c>
      <c r="BN172" s="141">
        <f t="shared" si="132"/>
        <v>0</v>
      </c>
      <c r="BO172" s="141">
        <f t="shared" si="133"/>
        <v>0</v>
      </c>
      <c r="BP172" s="141">
        <f t="shared" si="134"/>
        <v>0</v>
      </c>
      <c r="BT172" s="177"/>
      <c r="BU172" s="173"/>
      <c r="BV172" s="174"/>
      <c r="BW172" s="117"/>
      <c r="BX172" s="180"/>
      <c r="BY172" s="117"/>
      <c r="BZ172" s="181"/>
      <c r="CA172" s="182"/>
      <c r="CB172" s="176"/>
      <c r="CC172" s="176"/>
      <c r="CF172" s="170"/>
      <c r="CG172" s="171"/>
      <c r="CH172" s="170"/>
      <c r="CI172" s="171"/>
    </row>
    <row r="173" spans="2:87" s="108" customFormat="1" hidden="1">
      <c r="B173" s="109"/>
      <c r="C173" s="141" t="e">
        <f t="shared" si="109"/>
        <v>#NUM!</v>
      </c>
      <c r="D173" s="141">
        <f t="shared" si="111"/>
        <v>0</v>
      </c>
      <c r="E173" s="141" t="str">
        <f>IFERROR(DGET($BV$30:$CC$82,F173,G172:G173),"")</f>
        <v/>
      </c>
      <c r="F173" s="142">
        <f t="shared" si="135"/>
        <v>0</v>
      </c>
      <c r="G173" s="142" t="b">
        <f>IF(Q173&gt;0,IF(AND(S173&gt;0,S173&lt;2),CONCATENATE(Q173," ","0-2"),IF(AND(S173&gt;=2,S173&lt;8),CONCATENATE(Q173," ","2-8"),)))</f>
        <v>0</v>
      </c>
      <c r="H173" s="80">
        <f t="shared" si="112"/>
        <v>0</v>
      </c>
      <c r="I173" s="80" t="str">
        <f t="shared" si="136"/>
        <v/>
      </c>
      <c r="J173" s="76"/>
      <c r="K173" s="76"/>
      <c r="L173" s="76"/>
      <c r="M173" s="80"/>
      <c r="N173" s="79"/>
      <c r="O173" s="148"/>
      <c r="P173" s="77">
        <f t="shared" si="137"/>
        <v>0</v>
      </c>
      <c r="Q173" s="81"/>
      <c r="R173" s="77"/>
      <c r="S173" s="146">
        <f t="shared" si="110"/>
        <v>0</v>
      </c>
      <c r="T173" s="141" t="b">
        <f t="shared" si="151"/>
        <v>0</v>
      </c>
      <c r="U173" s="649">
        <f t="shared" si="113"/>
        <v>0</v>
      </c>
      <c r="V173" s="650"/>
      <c r="W173" s="649">
        <f t="shared" si="114"/>
        <v>0</v>
      </c>
      <c r="X173" s="650"/>
      <c r="Y173" s="649">
        <f t="shared" si="115"/>
        <v>0</v>
      </c>
      <c r="Z173" s="650"/>
      <c r="AA173" s="649">
        <f t="shared" si="116"/>
        <v>0</v>
      </c>
      <c r="AB173" s="650"/>
      <c r="AC173" s="649">
        <f t="shared" si="117"/>
        <v>0</v>
      </c>
      <c r="AD173" s="650"/>
      <c r="AE173" s="649">
        <f t="shared" si="118"/>
        <v>0</v>
      </c>
      <c r="AF173" s="650"/>
      <c r="AG173" s="649">
        <f t="shared" si="119"/>
        <v>0</v>
      </c>
      <c r="AH173" s="650"/>
      <c r="AI173" s="649">
        <f t="shared" si="120"/>
        <v>0</v>
      </c>
      <c r="AJ173" s="650"/>
      <c r="AK173" s="649">
        <f t="shared" si="121"/>
        <v>0</v>
      </c>
      <c r="AL173" s="650"/>
      <c r="AM173" s="649">
        <f t="shared" si="122"/>
        <v>0</v>
      </c>
      <c r="AN173" s="650"/>
      <c r="AO173" s="649">
        <f t="shared" si="123"/>
        <v>0</v>
      </c>
      <c r="AP173" s="650"/>
      <c r="AQ173" s="649">
        <f t="shared" si="124"/>
        <v>0</v>
      </c>
      <c r="AR173" s="650"/>
      <c r="AS173" s="651">
        <f t="shared" si="125"/>
        <v>0</v>
      </c>
      <c r="AT173" s="652"/>
      <c r="AU173" s="141">
        <f t="shared" si="138"/>
        <v>0</v>
      </c>
      <c r="AV173" s="141">
        <f t="shared" si="139"/>
        <v>0</v>
      </c>
      <c r="AW173" s="141">
        <f t="shared" si="140"/>
        <v>0</v>
      </c>
      <c r="AX173" s="141">
        <f t="shared" si="141"/>
        <v>0</v>
      </c>
      <c r="AY173" s="141">
        <f t="shared" si="142"/>
        <v>0</v>
      </c>
      <c r="AZ173" s="141">
        <f t="shared" si="143"/>
        <v>0</v>
      </c>
      <c r="BA173" s="141">
        <f t="shared" si="144"/>
        <v>0</v>
      </c>
      <c r="BB173" s="141">
        <f t="shared" si="145"/>
        <v>0</v>
      </c>
      <c r="BC173" s="141">
        <f t="shared" si="146"/>
        <v>0</v>
      </c>
      <c r="BD173" s="141">
        <f t="shared" si="147"/>
        <v>0</v>
      </c>
      <c r="BE173" s="141">
        <f t="shared" si="148"/>
        <v>0</v>
      </c>
      <c r="BF173" s="141">
        <f t="shared" si="149"/>
        <v>0</v>
      </c>
      <c r="BG173" s="141">
        <f t="shared" si="126"/>
        <v>0</v>
      </c>
      <c r="BH173" s="141">
        <f t="shared" si="127"/>
        <v>0</v>
      </c>
      <c r="BI173" s="141">
        <f t="shared" si="150"/>
        <v>0</v>
      </c>
      <c r="BJ173" s="147">
        <f t="shared" si="128"/>
        <v>0</v>
      </c>
      <c r="BK173" s="141">
        <f t="shared" si="129"/>
        <v>0</v>
      </c>
      <c r="BL173" s="141">
        <f t="shared" si="130"/>
        <v>0</v>
      </c>
      <c r="BM173" s="141">
        <f t="shared" si="131"/>
        <v>0</v>
      </c>
      <c r="BN173" s="141">
        <f t="shared" si="132"/>
        <v>0</v>
      </c>
      <c r="BO173" s="141">
        <f t="shared" si="133"/>
        <v>0</v>
      </c>
      <c r="BP173" s="141">
        <f t="shared" si="134"/>
        <v>0</v>
      </c>
      <c r="BT173" s="177"/>
      <c r="BU173" s="173"/>
      <c r="BV173" s="174"/>
      <c r="BW173" s="117"/>
      <c r="BX173" s="180"/>
      <c r="BY173" s="117"/>
      <c r="BZ173" s="181"/>
      <c r="CA173" s="182"/>
      <c r="CB173" s="176"/>
      <c r="CC173" s="176"/>
      <c r="CF173" s="170"/>
      <c r="CG173" s="171"/>
      <c r="CH173" s="170"/>
      <c r="CI173" s="171"/>
    </row>
    <row r="174" spans="2:87" s="108" customFormat="1" ht="15" hidden="1" customHeight="1">
      <c r="B174" s="109"/>
      <c r="C174" s="141" t="e">
        <f t="shared" si="109"/>
        <v>#NUM!</v>
      </c>
      <c r="D174" s="141">
        <f t="shared" si="111"/>
        <v>0</v>
      </c>
      <c r="E174" s="141"/>
      <c r="F174" s="142">
        <f t="shared" si="135"/>
        <v>0</v>
      </c>
      <c r="G174" s="143" t="s">
        <v>146</v>
      </c>
      <c r="H174" s="80">
        <f t="shared" si="112"/>
        <v>0</v>
      </c>
      <c r="I174" s="80" t="str">
        <f t="shared" si="136"/>
        <v/>
      </c>
      <c r="J174" s="144"/>
      <c r="K174" s="144"/>
      <c r="L174" s="144"/>
      <c r="M174" s="76"/>
      <c r="N174" s="77"/>
      <c r="O174" s="145"/>
      <c r="P174" s="77">
        <f t="shared" si="137"/>
        <v>0</v>
      </c>
      <c r="Q174" s="78"/>
      <c r="R174" s="79"/>
      <c r="S174" s="146">
        <f t="shared" si="110"/>
        <v>0</v>
      </c>
      <c r="T174" s="141" t="b">
        <f t="shared" si="151"/>
        <v>0</v>
      </c>
      <c r="U174" s="649">
        <f t="shared" si="113"/>
        <v>0</v>
      </c>
      <c r="V174" s="650"/>
      <c r="W174" s="649">
        <f t="shared" si="114"/>
        <v>0</v>
      </c>
      <c r="X174" s="650"/>
      <c r="Y174" s="649">
        <f t="shared" si="115"/>
        <v>0</v>
      </c>
      <c r="Z174" s="650"/>
      <c r="AA174" s="649">
        <f t="shared" si="116"/>
        <v>0</v>
      </c>
      <c r="AB174" s="650"/>
      <c r="AC174" s="649">
        <f t="shared" si="117"/>
        <v>0</v>
      </c>
      <c r="AD174" s="650"/>
      <c r="AE174" s="649">
        <f t="shared" si="118"/>
        <v>0</v>
      </c>
      <c r="AF174" s="650"/>
      <c r="AG174" s="649">
        <f t="shared" si="119"/>
        <v>0</v>
      </c>
      <c r="AH174" s="650"/>
      <c r="AI174" s="649">
        <f t="shared" si="120"/>
        <v>0</v>
      </c>
      <c r="AJ174" s="650"/>
      <c r="AK174" s="649">
        <f t="shared" si="121"/>
        <v>0</v>
      </c>
      <c r="AL174" s="650"/>
      <c r="AM174" s="649">
        <f t="shared" si="122"/>
        <v>0</v>
      </c>
      <c r="AN174" s="650"/>
      <c r="AO174" s="649">
        <f t="shared" si="123"/>
        <v>0</v>
      </c>
      <c r="AP174" s="650"/>
      <c r="AQ174" s="649">
        <f t="shared" si="124"/>
        <v>0</v>
      </c>
      <c r="AR174" s="650"/>
      <c r="AS174" s="651">
        <f t="shared" si="125"/>
        <v>0</v>
      </c>
      <c r="AT174" s="652"/>
      <c r="AU174" s="141">
        <f t="shared" si="138"/>
        <v>0</v>
      </c>
      <c r="AV174" s="141">
        <f t="shared" si="139"/>
        <v>0</v>
      </c>
      <c r="AW174" s="141">
        <f t="shared" si="140"/>
        <v>0</v>
      </c>
      <c r="AX174" s="141">
        <f t="shared" si="141"/>
        <v>0</v>
      </c>
      <c r="AY174" s="141">
        <f t="shared" si="142"/>
        <v>0</v>
      </c>
      <c r="AZ174" s="141">
        <f t="shared" si="143"/>
        <v>0</v>
      </c>
      <c r="BA174" s="141">
        <f t="shared" si="144"/>
        <v>0</v>
      </c>
      <c r="BB174" s="141">
        <f t="shared" si="145"/>
        <v>0</v>
      </c>
      <c r="BC174" s="141">
        <f t="shared" si="146"/>
        <v>0</v>
      </c>
      <c r="BD174" s="141">
        <f t="shared" si="147"/>
        <v>0</v>
      </c>
      <c r="BE174" s="141">
        <f t="shared" si="148"/>
        <v>0</v>
      </c>
      <c r="BF174" s="141">
        <f t="shared" si="149"/>
        <v>0</v>
      </c>
      <c r="BG174" s="141">
        <f t="shared" si="126"/>
        <v>0</v>
      </c>
      <c r="BH174" s="141">
        <f t="shared" si="127"/>
        <v>0</v>
      </c>
      <c r="BI174" s="141">
        <f t="shared" si="150"/>
        <v>0</v>
      </c>
      <c r="BJ174" s="147">
        <f t="shared" si="128"/>
        <v>0</v>
      </c>
      <c r="BK174" s="141">
        <f t="shared" si="129"/>
        <v>0</v>
      </c>
      <c r="BL174" s="141">
        <f t="shared" si="130"/>
        <v>0</v>
      </c>
      <c r="BM174" s="141">
        <f t="shared" si="131"/>
        <v>0</v>
      </c>
      <c r="BN174" s="141">
        <f t="shared" si="132"/>
        <v>0</v>
      </c>
      <c r="BO174" s="141">
        <f t="shared" si="133"/>
        <v>0</v>
      </c>
      <c r="BP174" s="141">
        <f t="shared" si="134"/>
        <v>0</v>
      </c>
      <c r="BT174" s="177"/>
      <c r="BU174" s="173"/>
      <c r="BV174" s="174"/>
      <c r="BW174" s="117"/>
      <c r="BX174" s="180"/>
      <c r="BY174" s="117"/>
      <c r="BZ174" s="181"/>
      <c r="CA174" s="182"/>
      <c r="CB174" s="176"/>
      <c r="CC174" s="176"/>
      <c r="CF174" s="170"/>
      <c r="CG174" s="171"/>
      <c r="CH174" s="170"/>
      <c r="CI174" s="171"/>
    </row>
    <row r="175" spans="2:87" s="108" customFormat="1" ht="15" hidden="1" customHeight="1">
      <c r="B175" s="109"/>
      <c r="C175" s="141" t="e">
        <f t="shared" si="109"/>
        <v>#NUM!</v>
      </c>
      <c r="D175" s="141">
        <f t="shared" si="111"/>
        <v>0</v>
      </c>
      <c r="E175" s="141" t="str">
        <f>IFERROR(DGET($BV$30:$CC$82,F175,G174:G175),"")</f>
        <v/>
      </c>
      <c r="F175" s="142">
        <f t="shared" si="135"/>
        <v>0</v>
      </c>
      <c r="G175" s="142" t="b">
        <f>IF(Q175&gt;0,IF(AND(S175&gt;0,S175&lt;2),CONCATENATE(Q175," ","0-2"),IF(AND(S175&gt;=2,S175&lt;8),CONCATENATE(Q175," ","2-8"),)))</f>
        <v>0</v>
      </c>
      <c r="H175" s="80">
        <f t="shared" si="112"/>
        <v>0</v>
      </c>
      <c r="I175" s="80" t="str">
        <f t="shared" si="136"/>
        <v/>
      </c>
      <c r="J175" s="76"/>
      <c r="K175" s="76"/>
      <c r="L175" s="76"/>
      <c r="M175" s="80"/>
      <c r="N175" s="79"/>
      <c r="O175" s="148"/>
      <c r="P175" s="77">
        <f t="shared" si="137"/>
        <v>0</v>
      </c>
      <c r="Q175" s="81"/>
      <c r="R175" s="77"/>
      <c r="S175" s="146">
        <f t="shared" si="110"/>
        <v>0</v>
      </c>
      <c r="T175" s="141" t="b">
        <f t="shared" si="151"/>
        <v>0</v>
      </c>
      <c r="U175" s="649">
        <f t="shared" si="113"/>
        <v>0</v>
      </c>
      <c r="V175" s="650"/>
      <c r="W175" s="649">
        <f t="shared" si="114"/>
        <v>0</v>
      </c>
      <c r="X175" s="650"/>
      <c r="Y175" s="649">
        <f t="shared" si="115"/>
        <v>0</v>
      </c>
      <c r="Z175" s="650"/>
      <c r="AA175" s="649">
        <f t="shared" si="116"/>
        <v>0</v>
      </c>
      <c r="AB175" s="650"/>
      <c r="AC175" s="649">
        <f t="shared" si="117"/>
        <v>0</v>
      </c>
      <c r="AD175" s="650"/>
      <c r="AE175" s="649">
        <f t="shared" si="118"/>
        <v>0</v>
      </c>
      <c r="AF175" s="650"/>
      <c r="AG175" s="649">
        <f t="shared" si="119"/>
        <v>0</v>
      </c>
      <c r="AH175" s="650"/>
      <c r="AI175" s="649">
        <f t="shared" si="120"/>
        <v>0</v>
      </c>
      <c r="AJ175" s="650"/>
      <c r="AK175" s="649">
        <f t="shared" si="121"/>
        <v>0</v>
      </c>
      <c r="AL175" s="650"/>
      <c r="AM175" s="649">
        <f t="shared" si="122"/>
        <v>0</v>
      </c>
      <c r="AN175" s="650"/>
      <c r="AO175" s="649">
        <f t="shared" si="123"/>
        <v>0</v>
      </c>
      <c r="AP175" s="650"/>
      <c r="AQ175" s="649">
        <f t="shared" si="124"/>
        <v>0</v>
      </c>
      <c r="AR175" s="650"/>
      <c r="AS175" s="651">
        <f t="shared" si="125"/>
        <v>0</v>
      </c>
      <c r="AT175" s="652"/>
      <c r="AU175" s="141">
        <f t="shared" si="138"/>
        <v>0</v>
      </c>
      <c r="AV175" s="141">
        <f t="shared" si="139"/>
        <v>0</v>
      </c>
      <c r="AW175" s="141">
        <f t="shared" si="140"/>
        <v>0</v>
      </c>
      <c r="AX175" s="141">
        <f t="shared" si="141"/>
        <v>0</v>
      </c>
      <c r="AY175" s="141">
        <f t="shared" si="142"/>
        <v>0</v>
      </c>
      <c r="AZ175" s="141">
        <f t="shared" si="143"/>
        <v>0</v>
      </c>
      <c r="BA175" s="141">
        <f t="shared" si="144"/>
        <v>0</v>
      </c>
      <c r="BB175" s="141">
        <f t="shared" si="145"/>
        <v>0</v>
      </c>
      <c r="BC175" s="141">
        <f t="shared" si="146"/>
        <v>0</v>
      </c>
      <c r="BD175" s="141">
        <f t="shared" si="147"/>
        <v>0</v>
      </c>
      <c r="BE175" s="141">
        <f t="shared" si="148"/>
        <v>0</v>
      </c>
      <c r="BF175" s="141">
        <f t="shared" si="149"/>
        <v>0</v>
      </c>
      <c r="BG175" s="141">
        <f t="shared" si="126"/>
        <v>0</v>
      </c>
      <c r="BH175" s="141">
        <f t="shared" si="127"/>
        <v>0</v>
      </c>
      <c r="BI175" s="141">
        <f t="shared" si="150"/>
        <v>0</v>
      </c>
      <c r="BJ175" s="147">
        <f t="shared" si="128"/>
        <v>0</v>
      </c>
      <c r="BK175" s="141">
        <f t="shared" si="129"/>
        <v>0</v>
      </c>
      <c r="BL175" s="141">
        <f t="shared" si="130"/>
        <v>0</v>
      </c>
      <c r="BM175" s="141">
        <f t="shared" si="131"/>
        <v>0</v>
      </c>
      <c r="BN175" s="141">
        <f t="shared" si="132"/>
        <v>0</v>
      </c>
      <c r="BO175" s="141">
        <f t="shared" si="133"/>
        <v>0</v>
      </c>
      <c r="BP175" s="141">
        <f t="shared" si="134"/>
        <v>0</v>
      </c>
      <c r="BT175" s="177"/>
      <c r="BU175" s="173"/>
      <c r="BV175" s="174"/>
      <c r="BW175" s="117"/>
      <c r="BX175" s="180"/>
      <c r="BY175" s="117"/>
      <c r="BZ175" s="181"/>
      <c r="CA175" s="182"/>
      <c r="CB175" s="176"/>
      <c r="CC175" s="176"/>
      <c r="CF175" s="170"/>
      <c r="CG175" s="171"/>
      <c r="CH175" s="170"/>
      <c r="CI175" s="171"/>
    </row>
    <row r="176" spans="2:87" s="108" customFormat="1" ht="15" hidden="1" customHeight="1">
      <c r="B176" s="109"/>
      <c r="C176" s="141" t="e">
        <f t="shared" si="109"/>
        <v>#NUM!</v>
      </c>
      <c r="D176" s="141">
        <f t="shared" si="111"/>
        <v>0</v>
      </c>
      <c r="E176" s="141"/>
      <c r="F176" s="142">
        <f t="shared" si="135"/>
        <v>0</v>
      </c>
      <c r="G176" s="143" t="s">
        <v>146</v>
      </c>
      <c r="H176" s="80">
        <f t="shared" si="112"/>
        <v>0</v>
      </c>
      <c r="I176" s="80" t="str">
        <f t="shared" si="136"/>
        <v/>
      </c>
      <c r="J176" s="144"/>
      <c r="K176" s="144"/>
      <c r="L176" s="144"/>
      <c r="M176" s="76"/>
      <c r="N176" s="77"/>
      <c r="O176" s="145"/>
      <c r="P176" s="77">
        <f t="shared" si="137"/>
        <v>0</v>
      </c>
      <c r="Q176" s="78"/>
      <c r="R176" s="79"/>
      <c r="S176" s="146">
        <f t="shared" si="110"/>
        <v>0</v>
      </c>
      <c r="T176" s="141" t="b">
        <f t="shared" si="151"/>
        <v>0</v>
      </c>
      <c r="U176" s="649">
        <f t="shared" si="113"/>
        <v>0</v>
      </c>
      <c r="V176" s="650"/>
      <c r="W176" s="649">
        <f t="shared" si="114"/>
        <v>0</v>
      </c>
      <c r="X176" s="650"/>
      <c r="Y176" s="649">
        <f t="shared" si="115"/>
        <v>0</v>
      </c>
      <c r="Z176" s="650"/>
      <c r="AA176" s="649">
        <f t="shared" si="116"/>
        <v>0</v>
      </c>
      <c r="AB176" s="650"/>
      <c r="AC176" s="649">
        <f t="shared" si="117"/>
        <v>0</v>
      </c>
      <c r="AD176" s="650"/>
      <c r="AE176" s="649">
        <f t="shared" si="118"/>
        <v>0</v>
      </c>
      <c r="AF176" s="650"/>
      <c r="AG176" s="649">
        <f t="shared" si="119"/>
        <v>0</v>
      </c>
      <c r="AH176" s="650"/>
      <c r="AI176" s="649">
        <f t="shared" si="120"/>
        <v>0</v>
      </c>
      <c r="AJ176" s="650"/>
      <c r="AK176" s="649">
        <f t="shared" si="121"/>
        <v>0</v>
      </c>
      <c r="AL176" s="650"/>
      <c r="AM176" s="649">
        <f t="shared" si="122"/>
        <v>0</v>
      </c>
      <c r="AN176" s="650"/>
      <c r="AO176" s="649">
        <f t="shared" si="123"/>
        <v>0</v>
      </c>
      <c r="AP176" s="650"/>
      <c r="AQ176" s="649">
        <f t="shared" si="124"/>
        <v>0</v>
      </c>
      <c r="AR176" s="650"/>
      <c r="AS176" s="651">
        <f t="shared" si="125"/>
        <v>0</v>
      </c>
      <c r="AT176" s="652"/>
      <c r="AU176" s="141">
        <f t="shared" si="138"/>
        <v>0</v>
      </c>
      <c r="AV176" s="141">
        <f t="shared" si="139"/>
        <v>0</v>
      </c>
      <c r="AW176" s="141">
        <f t="shared" si="140"/>
        <v>0</v>
      </c>
      <c r="AX176" s="141">
        <f t="shared" si="141"/>
        <v>0</v>
      </c>
      <c r="AY176" s="141">
        <f t="shared" si="142"/>
        <v>0</v>
      </c>
      <c r="AZ176" s="141">
        <f t="shared" si="143"/>
        <v>0</v>
      </c>
      <c r="BA176" s="141">
        <f t="shared" si="144"/>
        <v>0</v>
      </c>
      <c r="BB176" s="141">
        <f t="shared" si="145"/>
        <v>0</v>
      </c>
      <c r="BC176" s="141">
        <f t="shared" si="146"/>
        <v>0</v>
      </c>
      <c r="BD176" s="141">
        <f t="shared" si="147"/>
        <v>0</v>
      </c>
      <c r="BE176" s="141">
        <f t="shared" si="148"/>
        <v>0</v>
      </c>
      <c r="BF176" s="141">
        <f t="shared" si="149"/>
        <v>0</v>
      </c>
      <c r="BG176" s="141">
        <f t="shared" si="126"/>
        <v>0</v>
      </c>
      <c r="BH176" s="141">
        <f t="shared" si="127"/>
        <v>0</v>
      </c>
      <c r="BI176" s="141">
        <f t="shared" si="150"/>
        <v>0</v>
      </c>
      <c r="BJ176" s="147">
        <f t="shared" si="128"/>
        <v>0</v>
      </c>
      <c r="BK176" s="141">
        <f t="shared" si="129"/>
        <v>0</v>
      </c>
      <c r="BL176" s="141">
        <f t="shared" si="130"/>
        <v>0</v>
      </c>
      <c r="BM176" s="141">
        <f t="shared" si="131"/>
        <v>0</v>
      </c>
      <c r="BN176" s="141">
        <f t="shared" si="132"/>
        <v>0</v>
      </c>
      <c r="BO176" s="141">
        <f t="shared" si="133"/>
        <v>0</v>
      </c>
      <c r="BP176" s="141">
        <f t="shared" si="134"/>
        <v>0</v>
      </c>
      <c r="BT176" s="177"/>
      <c r="BU176" s="173"/>
      <c r="BV176" s="174"/>
      <c r="BW176" s="117"/>
      <c r="BX176" s="180"/>
      <c r="BY176" s="117"/>
      <c r="BZ176" s="181"/>
      <c r="CA176" s="182"/>
      <c r="CB176" s="176"/>
      <c r="CC176" s="176"/>
      <c r="CF176" s="170"/>
      <c r="CG176" s="171"/>
      <c r="CH176" s="170"/>
      <c r="CI176" s="171"/>
    </row>
    <row r="177" spans="2:87" s="108" customFormat="1" ht="15" hidden="1" customHeight="1">
      <c r="B177" s="109"/>
      <c r="C177" s="141" t="e">
        <f t="shared" si="109"/>
        <v>#NUM!</v>
      </c>
      <c r="D177" s="141">
        <f t="shared" si="111"/>
        <v>0</v>
      </c>
      <c r="E177" s="141" t="str">
        <f>IFERROR(DGET($BV$30:$CC$82,F177,G176:G177),"")</f>
        <v/>
      </c>
      <c r="F177" s="142">
        <f t="shared" si="135"/>
        <v>0</v>
      </c>
      <c r="G177" s="142" t="b">
        <f>IF(Q177&gt;0,IF(AND(S177&gt;0,S177&lt;2),CONCATENATE(Q177," ","0-2"),IF(AND(S177&gt;=2,S177&lt;8),CONCATENATE(Q177," ","2-8"),)))</f>
        <v>0</v>
      </c>
      <c r="H177" s="80">
        <f t="shared" si="112"/>
        <v>0</v>
      </c>
      <c r="I177" s="80" t="str">
        <f t="shared" si="136"/>
        <v/>
      </c>
      <c r="J177" s="76"/>
      <c r="K177" s="76"/>
      <c r="L177" s="76"/>
      <c r="M177" s="80"/>
      <c r="N177" s="79"/>
      <c r="O177" s="148"/>
      <c r="P177" s="77">
        <f t="shared" si="137"/>
        <v>0</v>
      </c>
      <c r="Q177" s="81"/>
      <c r="R177" s="77"/>
      <c r="S177" s="146">
        <f t="shared" si="110"/>
        <v>0</v>
      </c>
      <c r="T177" s="141" t="b">
        <f t="shared" si="151"/>
        <v>0</v>
      </c>
      <c r="U177" s="649">
        <f t="shared" si="113"/>
        <v>0</v>
      </c>
      <c r="V177" s="650"/>
      <c r="W177" s="649">
        <f t="shared" si="114"/>
        <v>0</v>
      </c>
      <c r="X177" s="650"/>
      <c r="Y177" s="649">
        <f t="shared" si="115"/>
        <v>0</v>
      </c>
      <c r="Z177" s="650"/>
      <c r="AA177" s="649">
        <f t="shared" si="116"/>
        <v>0</v>
      </c>
      <c r="AB177" s="650"/>
      <c r="AC177" s="649">
        <f t="shared" si="117"/>
        <v>0</v>
      </c>
      <c r="AD177" s="650"/>
      <c r="AE177" s="649">
        <f t="shared" si="118"/>
        <v>0</v>
      </c>
      <c r="AF177" s="650"/>
      <c r="AG177" s="649">
        <f t="shared" si="119"/>
        <v>0</v>
      </c>
      <c r="AH177" s="650"/>
      <c r="AI177" s="649">
        <f t="shared" si="120"/>
        <v>0</v>
      </c>
      <c r="AJ177" s="650"/>
      <c r="AK177" s="649">
        <f t="shared" si="121"/>
        <v>0</v>
      </c>
      <c r="AL177" s="650"/>
      <c r="AM177" s="649">
        <f t="shared" si="122"/>
        <v>0</v>
      </c>
      <c r="AN177" s="650"/>
      <c r="AO177" s="649">
        <f t="shared" si="123"/>
        <v>0</v>
      </c>
      <c r="AP177" s="650"/>
      <c r="AQ177" s="649">
        <f t="shared" si="124"/>
        <v>0</v>
      </c>
      <c r="AR177" s="650"/>
      <c r="AS177" s="651">
        <f t="shared" si="125"/>
        <v>0</v>
      </c>
      <c r="AT177" s="652"/>
      <c r="AU177" s="141">
        <f t="shared" si="138"/>
        <v>0</v>
      </c>
      <c r="AV177" s="141">
        <f t="shared" si="139"/>
        <v>0</v>
      </c>
      <c r="AW177" s="141">
        <f t="shared" si="140"/>
        <v>0</v>
      </c>
      <c r="AX177" s="141">
        <f t="shared" si="141"/>
        <v>0</v>
      </c>
      <c r="AY177" s="141">
        <f t="shared" si="142"/>
        <v>0</v>
      </c>
      <c r="AZ177" s="141">
        <f t="shared" si="143"/>
        <v>0</v>
      </c>
      <c r="BA177" s="141">
        <f t="shared" si="144"/>
        <v>0</v>
      </c>
      <c r="BB177" s="141">
        <f t="shared" si="145"/>
        <v>0</v>
      </c>
      <c r="BC177" s="141">
        <f t="shared" si="146"/>
        <v>0</v>
      </c>
      <c r="BD177" s="141">
        <f t="shared" si="147"/>
        <v>0</v>
      </c>
      <c r="BE177" s="141">
        <f t="shared" si="148"/>
        <v>0</v>
      </c>
      <c r="BF177" s="141">
        <f t="shared" si="149"/>
        <v>0</v>
      </c>
      <c r="BG177" s="141">
        <f t="shared" si="126"/>
        <v>0</v>
      </c>
      <c r="BH177" s="141">
        <f t="shared" si="127"/>
        <v>0</v>
      </c>
      <c r="BI177" s="141">
        <f t="shared" si="150"/>
        <v>0</v>
      </c>
      <c r="BJ177" s="147">
        <f t="shared" si="128"/>
        <v>0</v>
      </c>
      <c r="BK177" s="141">
        <f t="shared" si="129"/>
        <v>0</v>
      </c>
      <c r="BL177" s="141">
        <f t="shared" si="130"/>
        <v>0</v>
      </c>
      <c r="BM177" s="141">
        <f t="shared" si="131"/>
        <v>0</v>
      </c>
      <c r="BN177" s="141">
        <f t="shared" si="132"/>
        <v>0</v>
      </c>
      <c r="BO177" s="141">
        <f t="shared" si="133"/>
        <v>0</v>
      </c>
      <c r="BP177" s="141">
        <f t="shared" si="134"/>
        <v>0</v>
      </c>
      <c r="BT177" s="177"/>
      <c r="BU177" s="173"/>
      <c r="BV177" s="174"/>
      <c r="BW177" s="117"/>
      <c r="BX177" s="180"/>
      <c r="BY177" s="117"/>
      <c r="BZ177" s="181"/>
      <c r="CA177" s="182"/>
      <c r="CB177" s="176"/>
      <c r="CC177" s="176"/>
      <c r="CF177" s="170"/>
      <c r="CG177" s="171"/>
      <c r="CH177" s="170"/>
      <c r="CI177" s="171"/>
    </row>
    <row r="178" spans="2:87" s="108" customFormat="1" ht="15" hidden="1" customHeight="1">
      <c r="B178" s="109"/>
      <c r="C178" s="141" t="e">
        <f t="shared" si="109"/>
        <v>#NUM!</v>
      </c>
      <c r="D178" s="141">
        <f t="shared" si="111"/>
        <v>0</v>
      </c>
      <c r="E178" s="141"/>
      <c r="F178" s="142">
        <f t="shared" si="135"/>
        <v>0</v>
      </c>
      <c r="G178" s="143" t="s">
        <v>146</v>
      </c>
      <c r="H178" s="80">
        <f t="shared" si="112"/>
        <v>0</v>
      </c>
      <c r="I178" s="80" t="str">
        <f t="shared" si="136"/>
        <v/>
      </c>
      <c r="J178" s="144"/>
      <c r="K178" s="144"/>
      <c r="L178" s="144"/>
      <c r="M178" s="76"/>
      <c r="N178" s="77"/>
      <c r="O178" s="145"/>
      <c r="P178" s="77">
        <f t="shared" si="137"/>
        <v>0</v>
      </c>
      <c r="Q178" s="78"/>
      <c r="R178" s="79"/>
      <c r="S178" s="146">
        <f t="shared" si="110"/>
        <v>0</v>
      </c>
      <c r="T178" s="141" t="b">
        <f t="shared" si="151"/>
        <v>0</v>
      </c>
      <c r="U178" s="649">
        <f t="shared" si="113"/>
        <v>0</v>
      </c>
      <c r="V178" s="650"/>
      <c r="W178" s="649">
        <f t="shared" si="114"/>
        <v>0</v>
      </c>
      <c r="X178" s="650"/>
      <c r="Y178" s="649">
        <f t="shared" si="115"/>
        <v>0</v>
      </c>
      <c r="Z178" s="650"/>
      <c r="AA178" s="649">
        <f t="shared" si="116"/>
        <v>0</v>
      </c>
      <c r="AB178" s="650"/>
      <c r="AC178" s="649">
        <f t="shared" si="117"/>
        <v>0</v>
      </c>
      <c r="AD178" s="650"/>
      <c r="AE178" s="649">
        <f t="shared" si="118"/>
        <v>0</v>
      </c>
      <c r="AF178" s="650"/>
      <c r="AG178" s="649">
        <f t="shared" si="119"/>
        <v>0</v>
      </c>
      <c r="AH178" s="650"/>
      <c r="AI178" s="649">
        <f t="shared" si="120"/>
        <v>0</v>
      </c>
      <c r="AJ178" s="650"/>
      <c r="AK178" s="649">
        <f t="shared" si="121"/>
        <v>0</v>
      </c>
      <c r="AL178" s="650"/>
      <c r="AM178" s="649">
        <f t="shared" si="122"/>
        <v>0</v>
      </c>
      <c r="AN178" s="650"/>
      <c r="AO178" s="649">
        <f t="shared" si="123"/>
        <v>0</v>
      </c>
      <c r="AP178" s="650"/>
      <c r="AQ178" s="649">
        <f t="shared" si="124"/>
        <v>0</v>
      </c>
      <c r="AR178" s="650"/>
      <c r="AS178" s="651">
        <f t="shared" si="125"/>
        <v>0</v>
      </c>
      <c r="AT178" s="652"/>
      <c r="AU178" s="141">
        <f t="shared" si="138"/>
        <v>0</v>
      </c>
      <c r="AV178" s="141">
        <f t="shared" si="139"/>
        <v>0</v>
      </c>
      <c r="AW178" s="141">
        <f t="shared" si="140"/>
        <v>0</v>
      </c>
      <c r="AX178" s="141">
        <f t="shared" si="141"/>
        <v>0</v>
      </c>
      <c r="AY178" s="141">
        <f t="shared" si="142"/>
        <v>0</v>
      </c>
      <c r="AZ178" s="141">
        <f t="shared" si="143"/>
        <v>0</v>
      </c>
      <c r="BA178" s="141">
        <f t="shared" si="144"/>
        <v>0</v>
      </c>
      <c r="BB178" s="141">
        <f t="shared" si="145"/>
        <v>0</v>
      </c>
      <c r="BC178" s="141">
        <f t="shared" si="146"/>
        <v>0</v>
      </c>
      <c r="BD178" s="141">
        <f t="shared" si="147"/>
        <v>0</v>
      </c>
      <c r="BE178" s="141">
        <f t="shared" si="148"/>
        <v>0</v>
      </c>
      <c r="BF178" s="141">
        <f t="shared" si="149"/>
        <v>0</v>
      </c>
      <c r="BG178" s="141">
        <f t="shared" si="126"/>
        <v>0</v>
      </c>
      <c r="BH178" s="141">
        <f t="shared" si="127"/>
        <v>0</v>
      </c>
      <c r="BI178" s="141">
        <f t="shared" si="150"/>
        <v>0</v>
      </c>
      <c r="BJ178" s="147">
        <f t="shared" si="128"/>
        <v>0</v>
      </c>
      <c r="BK178" s="141">
        <f t="shared" si="129"/>
        <v>0</v>
      </c>
      <c r="BL178" s="141">
        <f t="shared" si="130"/>
        <v>0</v>
      </c>
      <c r="BM178" s="141">
        <f t="shared" si="131"/>
        <v>0</v>
      </c>
      <c r="BN178" s="141">
        <f t="shared" si="132"/>
        <v>0</v>
      </c>
      <c r="BO178" s="141">
        <f t="shared" si="133"/>
        <v>0</v>
      </c>
      <c r="BP178" s="141">
        <f t="shared" si="134"/>
        <v>0</v>
      </c>
      <c r="BT178" s="177"/>
      <c r="BU178" s="173"/>
      <c r="BV178" s="174"/>
      <c r="BW178" s="117"/>
      <c r="BX178" s="180"/>
      <c r="BY178" s="117"/>
      <c r="BZ178" s="181"/>
      <c r="CA178" s="182"/>
      <c r="CB178" s="176"/>
      <c r="CC178" s="176"/>
      <c r="CF178" s="170"/>
      <c r="CG178" s="171"/>
      <c r="CH178" s="170"/>
      <c r="CI178" s="171"/>
    </row>
    <row r="179" spans="2:87" s="108" customFormat="1" ht="15" hidden="1" customHeight="1">
      <c r="B179" s="109"/>
      <c r="C179" s="141" t="e">
        <f t="shared" si="109"/>
        <v>#NUM!</v>
      </c>
      <c r="D179" s="141">
        <f t="shared" si="111"/>
        <v>0</v>
      </c>
      <c r="E179" s="141" t="str">
        <f>IFERROR(DGET($BV$30:$CC$82,F179,G178:G179),"")</f>
        <v/>
      </c>
      <c r="F179" s="142">
        <f t="shared" si="135"/>
        <v>0</v>
      </c>
      <c r="G179" s="142" t="b">
        <f>IF(Q179&gt;0,IF(AND(S179&gt;0,S179&lt;2),CONCATENATE(Q179," ","0-2"),IF(AND(S179&gt;=2,S179&lt;8),CONCATENATE(Q179," ","2-8"),)))</f>
        <v>0</v>
      </c>
      <c r="H179" s="80">
        <f t="shared" si="112"/>
        <v>0</v>
      </c>
      <c r="I179" s="80" t="str">
        <f t="shared" si="136"/>
        <v/>
      </c>
      <c r="J179" s="76"/>
      <c r="K179" s="76"/>
      <c r="L179" s="76"/>
      <c r="M179" s="80"/>
      <c r="N179" s="79"/>
      <c r="O179" s="148"/>
      <c r="P179" s="77">
        <f t="shared" si="137"/>
        <v>0</v>
      </c>
      <c r="Q179" s="81"/>
      <c r="R179" s="77"/>
      <c r="S179" s="146">
        <f t="shared" si="110"/>
        <v>0</v>
      </c>
      <c r="T179" s="141" t="b">
        <f t="shared" si="151"/>
        <v>0</v>
      </c>
      <c r="U179" s="649">
        <f t="shared" si="113"/>
        <v>0</v>
      </c>
      <c r="V179" s="650"/>
      <c r="W179" s="649">
        <f t="shared" si="114"/>
        <v>0</v>
      </c>
      <c r="X179" s="650"/>
      <c r="Y179" s="649">
        <f t="shared" si="115"/>
        <v>0</v>
      </c>
      <c r="Z179" s="650"/>
      <c r="AA179" s="649">
        <f t="shared" si="116"/>
        <v>0</v>
      </c>
      <c r="AB179" s="650"/>
      <c r="AC179" s="649">
        <f t="shared" si="117"/>
        <v>0</v>
      </c>
      <c r="AD179" s="650"/>
      <c r="AE179" s="649">
        <f t="shared" si="118"/>
        <v>0</v>
      </c>
      <c r="AF179" s="650"/>
      <c r="AG179" s="649">
        <f t="shared" si="119"/>
        <v>0</v>
      </c>
      <c r="AH179" s="650"/>
      <c r="AI179" s="649">
        <f t="shared" si="120"/>
        <v>0</v>
      </c>
      <c r="AJ179" s="650"/>
      <c r="AK179" s="649">
        <f t="shared" si="121"/>
        <v>0</v>
      </c>
      <c r="AL179" s="650"/>
      <c r="AM179" s="649">
        <f t="shared" si="122"/>
        <v>0</v>
      </c>
      <c r="AN179" s="650"/>
      <c r="AO179" s="649">
        <f t="shared" si="123"/>
        <v>0</v>
      </c>
      <c r="AP179" s="650"/>
      <c r="AQ179" s="649">
        <f t="shared" si="124"/>
        <v>0</v>
      </c>
      <c r="AR179" s="650"/>
      <c r="AS179" s="651">
        <f t="shared" si="125"/>
        <v>0</v>
      </c>
      <c r="AT179" s="652"/>
      <c r="AU179" s="141">
        <f t="shared" si="138"/>
        <v>0</v>
      </c>
      <c r="AV179" s="141">
        <f t="shared" si="139"/>
        <v>0</v>
      </c>
      <c r="AW179" s="141">
        <f t="shared" si="140"/>
        <v>0</v>
      </c>
      <c r="AX179" s="141">
        <f t="shared" si="141"/>
        <v>0</v>
      </c>
      <c r="AY179" s="141">
        <f t="shared" si="142"/>
        <v>0</v>
      </c>
      <c r="AZ179" s="141">
        <f t="shared" si="143"/>
        <v>0</v>
      </c>
      <c r="BA179" s="141">
        <f t="shared" si="144"/>
        <v>0</v>
      </c>
      <c r="BB179" s="141">
        <f t="shared" si="145"/>
        <v>0</v>
      </c>
      <c r="BC179" s="141">
        <f t="shared" si="146"/>
        <v>0</v>
      </c>
      <c r="BD179" s="141">
        <f t="shared" si="147"/>
        <v>0</v>
      </c>
      <c r="BE179" s="141">
        <f t="shared" si="148"/>
        <v>0</v>
      </c>
      <c r="BF179" s="141">
        <f t="shared" si="149"/>
        <v>0</v>
      </c>
      <c r="BG179" s="141">
        <f t="shared" si="126"/>
        <v>0</v>
      </c>
      <c r="BH179" s="141">
        <f t="shared" si="127"/>
        <v>0</v>
      </c>
      <c r="BI179" s="141">
        <f t="shared" si="150"/>
        <v>0</v>
      </c>
      <c r="BJ179" s="147">
        <f t="shared" si="128"/>
        <v>0</v>
      </c>
      <c r="BK179" s="141">
        <f t="shared" si="129"/>
        <v>0</v>
      </c>
      <c r="BL179" s="141">
        <f t="shared" si="130"/>
        <v>0</v>
      </c>
      <c r="BM179" s="141">
        <f t="shared" si="131"/>
        <v>0</v>
      </c>
      <c r="BN179" s="141">
        <f t="shared" si="132"/>
        <v>0</v>
      </c>
      <c r="BO179" s="141">
        <f t="shared" si="133"/>
        <v>0</v>
      </c>
      <c r="BP179" s="141">
        <f t="shared" si="134"/>
        <v>0</v>
      </c>
      <c r="BT179" s="177"/>
      <c r="BU179" s="173"/>
      <c r="BV179" s="174"/>
      <c r="BW179" s="117"/>
      <c r="BX179" s="180"/>
      <c r="BY179" s="117"/>
      <c r="BZ179" s="181"/>
      <c r="CA179" s="182"/>
      <c r="CB179" s="176"/>
      <c r="CC179" s="176"/>
      <c r="CF179" s="170"/>
      <c r="CG179" s="171"/>
      <c r="CH179" s="170"/>
      <c r="CI179" s="171"/>
    </row>
    <row r="180" spans="2:87" s="108" customFormat="1" ht="15" hidden="1" customHeight="1">
      <c r="B180" s="109"/>
      <c r="C180" s="141" t="e">
        <f t="shared" si="109"/>
        <v>#NUM!</v>
      </c>
      <c r="D180" s="141">
        <f t="shared" si="111"/>
        <v>0</v>
      </c>
      <c r="E180" s="141"/>
      <c r="F180" s="142">
        <f t="shared" si="135"/>
        <v>0</v>
      </c>
      <c r="G180" s="143" t="s">
        <v>146</v>
      </c>
      <c r="H180" s="80">
        <f t="shared" si="112"/>
        <v>0</v>
      </c>
      <c r="I180" s="80" t="str">
        <f t="shared" si="136"/>
        <v/>
      </c>
      <c r="J180" s="144"/>
      <c r="K180" s="144"/>
      <c r="L180" s="144"/>
      <c r="M180" s="76"/>
      <c r="N180" s="77"/>
      <c r="O180" s="145"/>
      <c r="P180" s="77">
        <f t="shared" si="137"/>
        <v>0</v>
      </c>
      <c r="Q180" s="78"/>
      <c r="R180" s="79"/>
      <c r="S180" s="146">
        <f t="shared" si="110"/>
        <v>0</v>
      </c>
      <c r="T180" s="141" t="b">
        <f t="shared" si="151"/>
        <v>0</v>
      </c>
      <c r="U180" s="649">
        <f t="shared" si="113"/>
        <v>0</v>
      </c>
      <c r="V180" s="650"/>
      <c r="W180" s="649">
        <f t="shared" si="114"/>
        <v>0</v>
      </c>
      <c r="X180" s="650"/>
      <c r="Y180" s="649">
        <f t="shared" si="115"/>
        <v>0</v>
      </c>
      <c r="Z180" s="650"/>
      <c r="AA180" s="649">
        <f t="shared" si="116"/>
        <v>0</v>
      </c>
      <c r="AB180" s="650"/>
      <c r="AC180" s="649">
        <f t="shared" si="117"/>
        <v>0</v>
      </c>
      <c r="AD180" s="650"/>
      <c r="AE180" s="649">
        <f t="shared" si="118"/>
        <v>0</v>
      </c>
      <c r="AF180" s="650"/>
      <c r="AG180" s="649">
        <f t="shared" si="119"/>
        <v>0</v>
      </c>
      <c r="AH180" s="650"/>
      <c r="AI180" s="649">
        <f t="shared" si="120"/>
        <v>0</v>
      </c>
      <c r="AJ180" s="650"/>
      <c r="AK180" s="649">
        <f t="shared" si="121"/>
        <v>0</v>
      </c>
      <c r="AL180" s="650"/>
      <c r="AM180" s="649">
        <f t="shared" si="122"/>
        <v>0</v>
      </c>
      <c r="AN180" s="650"/>
      <c r="AO180" s="649">
        <f t="shared" si="123"/>
        <v>0</v>
      </c>
      <c r="AP180" s="650"/>
      <c r="AQ180" s="649">
        <f t="shared" si="124"/>
        <v>0</v>
      </c>
      <c r="AR180" s="650"/>
      <c r="AS180" s="651">
        <f t="shared" si="125"/>
        <v>0</v>
      </c>
      <c r="AT180" s="652"/>
      <c r="AU180" s="141">
        <f t="shared" si="138"/>
        <v>0</v>
      </c>
      <c r="AV180" s="141">
        <f t="shared" si="139"/>
        <v>0</v>
      </c>
      <c r="AW180" s="141">
        <f t="shared" si="140"/>
        <v>0</v>
      </c>
      <c r="AX180" s="141">
        <f t="shared" si="141"/>
        <v>0</v>
      </c>
      <c r="AY180" s="141">
        <f t="shared" si="142"/>
        <v>0</v>
      </c>
      <c r="AZ180" s="141">
        <f t="shared" si="143"/>
        <v>0</v>
      </c>
      <c r="BA180" s="141">
        <f t="shared" si="144"/>
        <v>0</v>
      </c>
      <c r="BB180" s="141">
        <f t="shared" si="145"/>
        <v>0</v>
      </c>
      <c r="BC180" s="141">
        <f t="shared" si="146"/>
        <v>0</v>
      </c>
      <c r="BD180" s="141">
        <f t="shared" si="147"/>
        <v>0</v>
      </c>
      <c r="BE180" s="141">
        <f t="shared" si="148"/>
        <v>0</v>
      </c>
      <c r="BF180" s="141">
        <f t="shared" si="149"/>
        <v>0</v>
      </c>
      <c r="BG180" s="141">
        <f t="shared" si="126"/>
        <v>0</v>
      </c>
      <c r="BH180" s="141">
        <f t="shared" si="127"/>
        <v>0</v>
      </c>
      <c r="BI180" s="141">
        <f t="shared" si="150"/>
        <v>0</v>
      </c>
      <c r="BJ180" s="147">
        <f t="shared" si="128"/>
        <v>0</v>
      </c>
      <c r="BK180" s="141">
        <f t="shared" si="129"/>
        <v>0</v>
      </c>
      <c r="BL180" s="141">
        <f t="shared" si="130"/>
        <v>0</v>
      </c>
      <c r="BM180" s="141">
        <f t="shared" si="131"/>
        <v>0</v>
      </c>
      <c r="BN180" s="141">
        <f t="shared" si="132"/>
        <v>0</v>
      </c>
      <c r="BO180" s="141">
        <f t="shared" si="133"/>
        <v>0</v>
      </c>
      <c r="BP180" s="141">
        <f t="shared" si="134"/>
        <v>0</v>
      </c>
      <c r="BT180" s="177"/>
      <c r="BU180" s="173"/>
      <c r="BV180" s="174"/>
      <c r="BW180" s="117"/>
      <c r="BX180" s="180"/>
      <c r="BY180" s="117"/>
      <c r="BZ180" s="181"/>
      <c r="CA180" s="182"/>
      <c r="CB180" s="176"/>
      <c r="CC180" s="176"/>
      <c r="CF180" s="170"/>
      <c r="CG180" s="171"/>
      <c r="CH180" s="170"/>
      <c r="CI180" s="171"/>
    </row>
    <row r="181" spans="2:87" s="108" customFormat="1" ht="15" hidden="1" customHeight="1">
      <c r="B181" s="109"/>
      <c r="C181" s="141" t="e">
        <f t="shared" si="109"/>
        <v>#NUM!</v>
      </c>
      <c r="D181" s="141">
        <f t="shared" si="111"/>
        <v>0</v>
      </c>
      <c r="E181" s="141" t="str">
        <f>IFERROR(DGET($BV$30:$CC$82,F181,G180:G181),"")</f>
        <v/>
      </c>
      <c r="F181" s="142">
        <f t="shared" si="135"/>
        <v>0</v>
      </c>
      <c r="G181" s="142" t="b">
        <f>IF(Q181&gt;0,IF(AND(S181&gt;0,S181&lt;2),CONCATENATE(Q181," ","0-2"),IF(AND(S181&gt;=2,S181&lt;8),CONCATENATE(Q181," ","2-8"),)))</f>
        <v>0</v>
      </c>
      <c r="H181" s="80">
        <f t="shared" si="112"/>
        <v>0</v>
      </c>
      <c r="I181" s="80" t="str">
        <f t="shared" si="136"/>
        <v/>
      </c>
      <c r="J181" s="76"/>
      <c r="K181" s="76"/>
      <c r="L181" s="76"/>
      <c r="M181" s="80"/>
      <c r="N181" s="79"/>
      <c r="O181" s="148"/>
      <c r="P181" s="77">
        <f t="shared" si="137"/>
        <v>0</v>
      </c>
      <c r="Q181" s="81"/>
      <c r="R181" s="77"/>
      <c r="S181" s="146">
        <f t="shared" si="110"/>
        <v>0</v>
      </c>
      <c r="T181" s="141" t="b">
        <f t="shared" si="151"/>
        <v>0</v>
      </c>
      <c r="U181" s="649">
        <f t="shared" si="113"/>
        <v>0</v>
      </c>
      <c r="V181" s="650"/>
      <c r="W181" s="649">
        <f t="shared" si="114"/>
        <v>0</v>
      </c>
      <c r="X181" s="650"/>
      <c r="Y181" s="649">
        <f t="shared" si="115"/>
        <v>0</v>
      </c>
      <c r="Z181" s="650"/>
      <c r="AA181" s="649">
        <f t="shared" si="116"/>
        <v>0</v>
      </c>
      <c r="AB181" s="650"/>
      <c r="AC181" s="649">
        <f t="shared" si="117"/>
        <v>0</v>
      </c>
      <c r="AD181" s="650"/>
      <c r="AE181" s="649">
        <f t="shared" si="118"/>
        <v>0</v>
      </c>
      <c r="AF181" s="650"/>
      <c r="AG181" s="649">
        <f t="shared" si="119"/>
        <v>0</v>
      </c>
      <c r="AH181" s="650"/>
      <c r="AI181" s="649">
        <f t="shared" si="120"/>
        <v>0</v>
      </c>
      <c r="AJ181" s="650"/>
      <c r="AK181" s="649">
        <f t="shared" si="121"/>
        <v>0</v>
      </c>
      <c r="AL181" s="650"/>
      <c r="AM181" s="649">
        <f t="shared" si="122"/>
        <v>0</v>
      </c>
      <c r="AN181" s="650"/>
      <c r="AO181" s="649">
        <f t="shared" si="123"/>
        <v>0</v>
      </c>
      <c r="AP181" s="650"/>
      <c r="AQ181" s="649">
        <f t="shared" si="124"/>
        <v>0</v>
      </c>
      <c r="AR181" s="650"/>
      <c r="AS181" s="651">
        <f t="shared" si="125"/>
        <v>0</v>
      </c>
      <c r="AT181" s="652"/>
      <c r="AU181" s="141">
        <f t="shared" si="138"/>
        <v>0</v>
      </c>
      <c r="AV181" s="141">
        <f t="shared" si="139"/>
        <v>0</v>
      </c>
      <c r="AW181" s="141">
        <f t="shared" si="140"/>
        <v>0</v>
      </c>
      <c r="AX181" s="141">
        <f t="shared" si="141"/>
        <v>0</v>
      </c>
      <c r="AY181" s="141">
        <f t="shared" si="142"/>
        <v>0</v>
      </c>
      <c r="AZ181" s="141">
        <f t="shared" si="143"/>
        <v>0</v>
      </c>
      <c r="BA181" s="141">
        <f t="shared" si="144"/>
        <v>0</v>
      </c>
      <c r="BB181" s="141">
        <f t="shared" si="145"/>
        <v>0</v>
      </c>
      <c r="BC181" s="141">
        <f t="shared" si="146"/>
        <v>0</v>
      </c>
      <c r="BD181" s="141">
        <f t="shared" si="147"/>
        <v>0</v>
      </c>
      <c r="BE181" s="141">
        <f t="shared" si="148"/>
        <v>0</v>
      </c>
      <c r="BF181" s="141">
        <f t="shared" si="149"/>
        <v>0</v>
      </c>
      <c r="BG181" s="141">
        <f t="shared" si="126"/>
        <v>0</v>
      </c>
      <c r="BH181" s="141">
        <f t="shared" si="127"/>
        <v>0</v>
      </c>
      <c r="BI181" s="141">
        <f t="shared" si="150"/>
        <v>0</v>
      </c>
      <c r="BJ181" s="147">
        <f t="shared" si="128"/>
        <v>0</v>
      </c>
      <c r="BK181" s="141">
        <f t="shared" si="129"/>
        <v>0</v>
      </c>
      <c r="BL181" s="141">
        <f t="shared" si="130"/>
        <v>0</v>
      </c>
      <c r="BM181" s="141">
        <f t="shared" si="131"/>
        <v>0</v>
      </c>
      <c r="BN181" s="141">
        <f t="shared" si="132"/>
        <v>0</v>
      </c>
      <c r="BO181" s="141">
        <f t="shared" si="133"/>
        <v>0</v>
      </c>
      <c r="BP181" s="141">
        <f t="shared" si="134"/>
        <v>0</v>
      </c>
      <c r="BT181" s="177"/>
      <c r="BU181" s="173"/>
      <c r="BV181" s="174"/>
      <c r="BW181" s="117"/>
      <c r="BX181" s="180"/>
      <c r="BY181" s="117"/>
      <c r="BZ181" s="181"/>
      <c r="CA181" s="182"/>
      <c r="CB181" s="176"/>
      <c r="CC181" s="176"/>
      <c r="CF181" s="170"/>
      <c r="CG181" s="171"/>
      <c r="CH181" s="170"/>
      <c r="CI181" s="171"/>
    </row>
    <row r="182" spans="2:87" s="108" customFormat="1" ht="15" hidden="1" customHeight="1">
      <c r="B182" s="109"/>
      <c r="C182" s="141" t="e">
        <f t="shared" si="109"/>
        <v>#NUM!</v>
      </c>
      <c r="D182" s="141">
        <f t="shared" si="111"/>
        <v>0</v>
      </c>
      <c r="E182" s="141"/>
      <c r="F182" s="142">
        <f t="shared" si="135"/>
        <v>0</v>
      </c>
      <c r="G182" s="143" t="s">
        <v>146</v>
      </c>
      <c r="H182" s="80">
        <f t="shared" si="112"/>
        <v>0</v>
      </c>
      <c r="I182" s="80" t="str">
        <f t="shared" si="136"/>
        <v/>
      </c>
      <c r="J182" s="144"/>
      <c r="K182" s="144"/>
      <c r="L182" s="144"/>
      <c r="M182" s="76"/>
      <c r="N182" s="77"/>
      <c r="O182" s="145"/>
      <c r="P182" s="77">
        <f t="shared" si="137"/>
        <v>0</v>
      </c>
      <c r="Q182" s="78"/>
      <c r="R182" s="79"/>
      <c r="S182" s="146">
        <f t="shared" si="110"/>
        <v>0</v>
      </c>
      <c r="T182" s="141" t="b">
        <f t="shared" si="151"/>
        <v>0</v>
      </c>
      <c r="U182" s="649">
        <f t="shared" si="113"/>
        <v>0</v>
      </c>
      <c r="V182" s="650"/>
      <c r="W182" s="649">
        <f t="shared" si="114"/>
        <v>0</v>
      </c>
      <c r="X182" s="650"/>
      <c r="Y182" s="649">
        <f t="shared" si="115"/>
        <v>0</v>
      </c>
      <c r="Z182" s="650"/>
      <c r="AA182" s="649">
        <f t="shared" si="116"/>
        <v>0</v>
      </c>
      <c r="AB182" s="650"/>
      <c r="AC182" s="649">
        <f t="shared" si="117"/>
        <v>0</v>
      </c>
      <c r="AD182" s="650"/>
      <c r="AE182" s="649">
        <f t="shared" si="118"/>
        <v>0</v>
      </c>
      <c r="AF182" s="650"/>
      <c r="AG182" s="649">
        <f t="shared" si="119"/>
        <v>0</v>
      </c>
      <c r="AH182" s="650"/>
      <c r="AI182" s="649">
        <f t="shared" si="120"/>
        <v>0</v>
      </c>
      <c r="AJ182" s="650"/>
      <c r="AK182" s="649">
        <f t="shared" si="121"/>
        <v>0</v>
      </c>
      <c r="AL182" s="650"/>
      <c r="AM182" s="649">
        <f t="shared" si="122"/>
        <v>0</v>
      </c>
      <c r="AN182" s="650"/>
      <c r="AO182" s="649">
        <f t="shared" si="123"/>
        <v>0</v>
      </c>
      <c r="AP182" s="650"/>
      <c r="AQ182" s="649">
        <f t="shared" si="124"/>
        <v>0</v>
      </c>
      <c r="AR182" s="650"/>
      <c r="AS182" s="651">
        <f t="shared" si="125"/>
        <v>0</v>
      </c>
      <c r="AT182" s="652"/>
      <c r="AU182" s="141">
        <f t="shared" si="138"/>
        <v>0</v>
      </c>
      <c r="AV182" s="141">
        <f t="shared" si="139"/>
        <v>0</v>
      </c>
      <c r="AW182" s="141">
        <f t="shared" si="140"/>
        <v>0</v>
      </c>
      <c r="AX182" s="141">
        <f t="shared" si="141"/>
        <v>0</v>
      </c>
      <c r="AY182" s="141">
        <f t="shared" si="142"/>
        <v>0</v>
      </c>
      <c r="AZ182" s="141">
        <f t="shared" si="143"/>
        <v>0</v>
      </c>
      <c r="BA182" s="141">
        <f t="shared" si="144"/>
        <v>0</v>
      </c>
      <c r="BB182" s="141">
        <f t="shared" si="145"/>
        <v>0</v>
      </c>
      <c r="BC182" s="141">
        <f t="shared" si="146"/>
        <v>0</v>
      </c>
      <c r="BD182" s="141">
        <f t="shared" si="147"/>
        <v>0</v>
      </c>
      <c r="BE182" s="141">
        <f t="shared" si="148"/>
        <v>0</v>
      </c>
      <c r="BF182" s="141">
        <f t="shared" si="149"/>
        <v>0</v>
      </c>
      <c r="BG182" s="141">
        <f t="shared" si="126"/>
        <v>0</v>
      </c>
      <c r="BH182" s="141">
        <f t="shared" si="127"/>
        <v>0</v>
      </c>
      <c r="BI182" s="141">
        <f t="shared" si="150"/>
        <v>0</v>
      </c>
      <c r="BJ182" s="147">
        <f t="shared" si="128"/>
        <v>0</v>
      </c>
      <c r="BK182" s="141">
        <f t="shared" si="129"/>
        <v>0</v>
      </c>
      <c r="BL182" s="141">
        <f t="shared" si="130"/>
        <v>0</v>
      </c>
      <c r="BM182" s="141">
        <f t="shared" si="131"/>
        <v>0</v>
      </c>
      <c r="BN182" s="141">
        <f t="shared" si="132"/>
        <v>0</v>
      </c>
      <c r="BO182" s="141">
        <f t="shared" si="133"/>
        <v>0</v>
      </c>
      <c r="BP182" s="141">
        <f t="shared" si="134"/>
        <v>0</v>
      </c>
      <c r="BT182" s="177"/>
      <c r="BU182" s="173"/>
      <c r="BV182" s="174"/>
      <c r="BW182" s="117"/>
      <c r="BX182" s="180"/>
      <c r="BY182" s="117"/>
      <c r="BZ182" s="181"/>
      <c r="CA182" s="182"/>
      <c r="CB182" s="176"/>
      <c r="CC182" s="176"/>
      <c r="CF182" s="170"/>
      <c r="CG182" s="171"/>
      <c r="CH182" s="170"/>
      <c r="CI182" s="171"/>
    </row>
    <row r="183" spans="2:87" s="108" customFormat="1" ht="15" hidden="1" customHeight="1">
      <c r="B183" s="109"/>
      <c r="C183" s="141" t="e">
        <f t="shared" si="109"/>
        <v>#NUM!</v>
      </c>
      <c r="D183" s="141">
        <f t="shared" si="111"/>
        <v>0</v>
      </c>
      <c r="E183" s="141" t="str">
        <f>IFERROR(DGET($BV$30:$CC$82,F183,G182:G183),"")</f>
        <v/>
      </c>
      <c r="F183" s="142">
        <f t="shared" si="135"/>
        <v>0</v>
      </c>
      <c r="G183" s="142" t="b">
        <f>IF(Q183&gt;0,IF(AND(S183&gt;0,S183&lt;2),CONCATENATE(Q183," ","0-2"),IF(AND(S183&gt;=2,S183&lt;8),CONCATENATE(Q183," ","2-8"),)))</f>
        <v>0</v>
      </c>
      <c r="H183" s="80">
        <f t="shared" si="112"/>
        <v>0</v>
      </c>
      <c r="I183" s="80" t="str">
        <f t="shared" si="136"/>
        <v/>
      </c>
      <c r="J183" s="76"/>
      <c r="K183" s="76"/>
      <c r="L183" s="76"/>
      <c r="M183" s="80"/>
      <c r="N183" s="79"/>
      <c r="O183" s="148"/>
      <c r="P183" s="77">
        <f t="shared" si="137"/>
        <v>0</v>
      </c>
      <c r="Q183" s="81"/>
      <c r="R183" s="77"/>
      <c r="S183" s="146">
        <f t="shared" si="110"/>
        <v>0</v>
      </c>
      <c r="T183" s="141" t="b">
        <f t="shared" si="151"/>
        <v>0</v>
      </c>
      <c r="U183" s="649">
        <f t="shared" si="113"/>
        <v>0</v>
      </c>
      <c r="V183" s="650"/>
      <c r="W183" s="649">
        <f t="shared" si="114"/>
        <v>0</v>
      </c>
      <c r="X183" s="650"/>
      <c r="Y183" s="649">
        <f t="shared" si="115"/>
        <v>0</v>
      </c>
      <c r="Z183" s="650"/>
      <c r="AA183" s="649">
        <f t="shared" si="116"/>
        <v>0</v>
      </c>
      <c r="AB183" s="650"/>
      <c r="AC183" s="649">
        <f t="shared" si="117"/>
        <v>0</v>
      </c>
      <c r="AD183" s="650"/>
      <c r="AE183" s="649">
        <f t="shared" si="118"/>
        <v>0</v>
      </c>
      <c r="AF183" s="650"/>
      <c r="AG183" s="649">
        <f t="shared" si="119"/>
        <v>0</v>
      </c>
      <c r="AH183" s="650"/>
      <c r="AI183" s="649">
        <f t="shared" si="120"/>
        <v>0</v>
      </c>
      <c r="AJ183" s="650"/>
      <c r="AK183" s="649">
        <f t="shared" si="121"/>
        <v>0</v>
      </c>
      <c r="AL183" s="650"/>
      <c r="AM183" s="649">
        <f t="shared" si="122"/>
        <v>0</v>
      </c>
      <c r="AN183" s="650"/>
      <c r="AO183" s="649">
        <f t="shared" si="123"/>
        <v>0</v>
      </c>
      <c r="AP183" s="650"/>
      <c r="AQ183" s="649">
        <f t="shared" si="124"/>
        <v>0</v>
      </c>
      <c r="AR183" s="650"/>
      <c r="AS183" s="651">
        <f t="shared" si="125"/>
        <v>0</v>
      </c>
      <c r="AT183" s="652"/>
      <c r="AU183" s="141">
        <f t="shared" si="138"/>
        <v>0</v>
      </c>
      <c r="AV183" s="141">
        <f t="shared" si="139"/>
        <v>0</v>
      </c>
      <c r="AW183" s="141">
        <f t="shared" si="140"/>
        <v>0</v>
      </c>
      <c r="AX183" s="141">
        <f t="shared" si="141"/>
        <v>0</v>
      </c>
      <c r="AY183" s="141">
        <f t="shared" si="142"/>
        <v>0</v>
      </c>
      <c r="AZ183" s="141">
        <f t="shared" si="143"/>
        <v>0</v>
      </c>
      <c r="BA183" s="141">
        <f t="shared" si="144"/>
        <v>0</v>
      </c>
      <c r="BB183" s="141">
        <f t="shared" si="145"/>
        <v>0</v>
      </c>
      <c r="BC183" s="141">
        <f t="shared" si="146"/>
        <v>0</v>
      </c>
      <c r="BD183" s="141">
        <f t="shared" si="147"/>
        <v>0</v>
      </c>
      <c r="BE183" s="141">
        <f t="shared" si="148"/>
        <v>0</v>
      </c>
      <c r="BF183" s="141">
        <f t="shared" si="149"/>
        <v>0</v>
      </c>
      <c r="BG183" s="141">
        <f t="shared" si="126"/>
        <v>0</v>
      </c>
      <c r="BH183" s="141">
        <f t="shared" si="127"/>
        <v>0</v>
      </c>
      <c r="BI183" s="141">
        <f t="shared" si="150"/>
        <v>0</v>
      </c>
      <c r="BJ183" s="147">
        <f t="shared" si="128"/>
        <v>0</v>
      </c>
      <c r="BK183" s="141">
        <f t="shared" si="129"/>
        <v>0</v>
      </c>
      <c r="BL183" s="141">
        <f t="shared" si="130"/>
        <v>0</v>
      </c>
      <c r="BM183" s="141">
        <f t="shared" si="131"/>
        <v>0</v>
      </c>
      <c r="BN183" s="141">
        <f t="shared" si="132"/>
        <v>0</v>
      </c>
      <c r="BO183" s="141">
        <f t="shared" si="133"/>
        <v>0</v>
      </c>
      <c r="BP183" s="141">
        <f t="shared" si="134"/>
        <v>0</v>
      </c>
      <c r="BT183" s="177"/>
      <c r="BU183" s="173"/>
      <c r="BV183" s="174"/>
      <c r="BW183" s="117"/>
      <c r="BX183" s="180"/>
      <c r="BY183" s="117"/>
      <c r="BZ183" s="181"/>
      <c r="CA183" s="182"/>
      <c r="CB183" s="176"/>
      <c r="CC183" s="176"/>
      <c r="CF183" s="170"/>
      <c r="CG183" s="171"/>
      <c r="CH183" s="170"/>
      <c r="CI183" s="171"/>
    </row>
    <row r="184" spans="2:87" s="108" customFormat="1" ht="15" hidden="1" customHeight="1">
      <c r="B184" s="109"/>
      <c r="C184" s="141" t="e">
        <f t="shared" si="109"/>
        <v>#NUM!</v>
      </c>
      <c r="D184" s="141">
        <f t="shared" si="111"/>
        <v>0</v>
      </c>
      <c r="E184" s="141"/>
      <c r="F184" s="142">
        <f t="shared" si="135"/>
        <v>0</v>
      </c>
      <c r="G184" s="143" t="s">
        <v>146</v>
      </c>
      <c r="H184" s="80">
        <f t="shared" si="112"/>
        <v>0</v>
      </c>
      <c r="I184" s="80" t="str">
        <f t="shared" si="136"/>
        <v/>
      </c>
      <c r="J184" s="144"/>
      <c r="K184" s="144"/>
      <c r="L184" s="144"/>
      <c r="M184" s="76"/>
      <c r="N184" s="77"/>
      <c r="O184" s="145"/>
      <c r="P184" s="77">
        <f t="shared" si="137"/>
        <v>0</v>
      </c>
      <c r="Q184" s="78"/>
      <c r="R184" s="79"/>
      <c r="S184" s="146">
        <f t="shared" si="110"/>
        <v>0</v>
      </c>
      <c r="T184" s="141" t="b">
        <f t="shared" si="151"/>
        <v>0</v>
      </c>
      <c r="U184" s="649">
        <f t="shared" si="113"/>
        <v>0</v>
      </c>
      <c r="V184" s="650"/>
      <c r="W184" s="649">
        <f t="shared" si="114"/>
        <v>0</v>
      </c>
      <c r="X184" s="650"/>
      <c r="Y184" s="649">
        <f t="shared" si="115"/>
        <v>0</v>
      </c>
      <c r="Z184" s="650"/>
      <c r="AA184" s="649">
        <f t="shared" si="116"/>
        <v>0</v>
      </c>
      <c r="AB184" s="650"/>
      <c r="AC184" s="649">
        <f t="shared" si="117"/>
        <v>0</v>
      </c>
      <c r="AD184" s="650"/>
      <c r="AE184" s="649">
        <f t="shared" si="118"/>
        <v>0</v>
      </c>
      <c r="AF184" s="650"/>
      <c r="AG184" s="649">
        <f t="shared" si="119"/>
        <v>0</v>
      </c>
      <c r="AH184" s="650"/>
      <c r="AI184" s="649">
        <f t="shared" si="120"/>
        <v>0</v>
      </c>
      <c r="AJ184" s="650"/>
      <c r="AK184" s="649">
        <f t="shared" si="121"/>
        <v>0</v>
      </c>
      <c r="AL184" s="650"/>
      <c r="AM184" s="649">
        <f t="shared" si="122"/>
        <v>0</v>
      </c>
      <c r="AN184" s="650"/>
      <c r="AO184" s="649">
        <f t="shared" si="123"/>
        <v>0</v>
      </c>
      <c r="AP184" s="650"/>
      <c r="AQ184" s="649">
        <f t="shared" si="124"/>
        <v>0</v>
      </c>
      <c r="AR184" s="650"/>
      <c r="AS184" s="651">
        <f t="shared" si="125"/>
        <v>0</v>
      </c>
      <c r="AT184" s="652"/>
      <c r="AU184" s="141">
        <f t="shared" si="138"/>
        <v>0</v>
      </c>
      <c r="AV184" s="141">
        <f t="shared" si="139"/>
        <v>0</v>
      </c>
      <c r="AW184" s="141">
        <f t="shared" si="140"/>
        <v>0</v>
      </c>
      <c r="AX184" s="141">
        <f t="shared" si="141"/>
        <v>0</v>
      </c>
      <c r="AY184" s="141">
        <f t="shared" si="142"/>
        <v>0</v>
      </c>
      <c r="AZ184" s="141">
        <f t="shared" si="143"/>
        <v>0</v>
      </c>
      <c r="BA184" s="141">
        <f t="shared" si="144"/>
        <v>0</v>
      </c>
      <c r="BB184" s="141">
        <f t="shared" si="145"/>
        <v>0</v>
      </c>
      <c r="BC184" s="141">
        <f t="shared" si="146"/>
        <v>0</v>
      </c>
      <c r="BD184" s="141">
        <f t="shared" si="147"/>
        <v>0</v>
      </c>
      <c r="BE184" s="141">
        <f t="shared" si="148"/>
        <v>0</v>
      </c>
      <c r="BF184" s="141">
        <f t="shared" si="149"/>
        <v>0</v>
      </c>
      <c r="BG184" s="141">
        <f t="shared" si="126"/>
        <v>0</v>
      </c>
      <c r="BH184" s="141">
        <f t="shared" si="127"/>
        <v>0</v>
      </c>
      <c r="BI184" s="141">
        <f t="shared" si="150"/>
        <v>0</v>
      </c>
      <c r="BJ184" s="147">
        <f t="shared" si="128"/>
        <v>0</v>
      </c>
      <c r="BK184" s="141">
        <f t="shared" si="129"/>
        <v>0</v>
      </c>
      <c r="BL184" s="141">
        <f t="shared" si="130"/>
        <v>0</v>
      </c>
      <c r="BM184" s="141">
        <f t="shared" si="131"/>
        <v>0</v>
      </c>
      <c r="BN184" s="141">
        <f t="shared" si="132"/>
        <v>0</v>
      </c>
      <c r="BO184" s="141">
        <f t="shared" si="133"/>
        <v>0</v>
      </c>
      <c r="BP184" s="141">
        <f t="shared" si="134"/>
        <v>0</v>
      </c>
      <c r="BT184" s="177"/>
      <c r="BU184" s="173"/>
      <c r="BV184" s="174"/>
      <c r="BW184" s="117"/>
      <c r="BX184" s="180"/>
      <c r="BY184" s="117"/>
      <c r="BZ184" s="181"/>
      <c r="CA184" s="182"/>
      <c r="CB184" s="176"/>
      <c r="CC184" s="176"/>
      <c r="CF184" s="170"/>
      <c r="CG184" s="171"/>
      <c r="CH184" s="170"/>
      <c r="CI184" s="171"/>
    </row>
    <row r="185" spans="2:87" s="108" customFormat="1" ht="15" hidden="1" customHeight="1">
      <c r="B185" s="109"/>
      <c r="C185" s="141" t="e">
        <f t="shared" si="109"/>
        <v>#NUM!</v>
      </c>
      <c r="D185" s="141">
        <f t="shared" si="111"/>
        <v>0</v>
      </c>
      <c r="E185" s="141" t="str">
        <f>IFERROR(DGET($BV$30:$CC$82,F185,G184:G185),"")</f>
        <v/>
      </c>
      <c r="F185" s="142">
        <f t="shared" si="135"/>
        <v>0</v>
      </c>
      <c r="G185" s="142" t="b">
        <f>IF(Q185&gt;0,IF(AND(S185&gt;0,S185&lt;2),CONCATENATE(Q185," ","0-2"),IF(AND(S185&gt;=2,S185&lt;8),CONCATENATE(Q185," ","2-8"),)))</f>
        <v>0</v>
      </c>
      <c r="H185" s="80">
        <f t="shared" si="112"/>
        <v>0</v>
      </c>
      <c r="I185" s="80" t="str">
        <f t="shared" si="136"/>
        <v/>
      </c>
      <c r="J185" s="76"/>
      <c r="K185" s="76"/>
      <c r="L185" s="76"/>
      <c r="M185" s="80"/>
      <c r="N185" s="79"/>
      <c r="O185" s="148"/>
      <c r="P185" s="77">
        <f t="shared" si="137"/>
        <v>0</v>
      </c>
      <c r="Q185" s="81"/>
      <c r="R185" s="77"/>
      <c r="S185" s="146">
        <f t="shared" si="110"/>
        <v>0</v>
      </c>
      <c r="T185" s="141" t="b">
        <f t="shared" si="151"/>
        <v>0</v>
      </c>
      <c r="U185" s="649">
        <f t="shared" si="113"/>
        <v>0</v>
      </c>
      <c r="V185" s="650"/>
      <c r="W185" s="649">
        <f t="shared" si="114"/>
        <v>0</v>
      </c>
      <c r="X185" s="650"/>
      <c r="Y185" s="649">
        <f t="shared" si="115"/>
        <v>0</v>
      </c>
      <c r="Z185" s="650"/>
      <c r="AA185" s="649">
        <f t="shared" si="116"/>
        <v>0</v>
      </c>
      <c r="AB185" s="650"/>
      <c r="AC185" s="649">
        <f t="shared" si="117"/>
        <v>0</v>
      </c>
      <c r="AD185" s="650"/>
      <c r="AE185" s="649">
        <f t="shared" si="118"/>
        <v>0</v>
      </c>
      <c r="AF185" s="650"/>
      <c r="AG185" s="649">
        <f t="shared" si="119"/>
        <v>0</v>
      </c>
      <c r="AH185" s="650"/>
      <c r="AI185" s="649">
        <f t="shared" si="120"/>
        <v>0</v>
      </c>
      <c r="AJ185" s="650"/>
      <c r="AK185" s="649">
        <f t="shared" si="121"/>
        <v>0</v>
      </c>
      <c r="AL185" s="650"/>
      <c r="AM185" s="649">
        <f t="shared" si="122"/>
        <v>0</v>
      </c>
      <c r="AN185" s="650"/>
      <c r="AO185" s="649">
        <f t="shared" si="123"/>
        <v>0</v>
      </c>
      <c r="AP185" s="650"/>
      <c r="AQ185" s="649">
        <f t="shared" si="124"/>
        <v>0</v>
      </c>
      <c r="AR185" s="650"/>
      <c r="AS185" s="651">
        <f t="shared" si="125"/>
        <v>0</v>
      </c>
      <c r="AT185" s="652"/>
      <c r="AU185" s="141">
        <f t="shared" si="138"/>
        <v>0</v>
      </c>
      <c r="AV185" s="141">
        <f t="shared" si="139"/>
        <v>0</v>
      </c>
      <c r="AW185" s="141">
        <f t="shared" si="140"/>
        <v>0</v>
      </c>
      <c r="AX185" s="141">
        <f t="shared" si="141"/>
        <v>0</v>
      </c>
      <c r="AY185" s="141">
        <f t="shared" si="142"/>
        <v>0</v>
      </c>
      <c r="AZ185" s="141">
        <f t="shared" si="143"/>
        <v>0</v>
      </c>
      <c r="BA185" s="141">
        <f t="shared" si="144"/>
        <v>0</v>
      </c>
      <c r="BB185" s="141">
        <f t="shared" si="145"/>
        <v>0</v>
      </c>
      <c r="BC185" s="141">
        <f t="shared" si="146"/>
        <v>0</v>
      </c>
      <c r="BD185" s="141">
        <f t="shared" si="147"/>
        <v>0</v>
      </c>
      <c r="BE185" s="141">
        <f t="shared" si="148"/>
        <v>0</v>
      </c>
      <c r="BF185" s="141">
        <f t="shared" si="149"/>
        <v>0</v>
      </c>
      <c r="BG185" s="141">
        <f t="shared" si="126"/>
        <v>0</v>
      </c>
      <c r="BH185" s="141">
        <f t="shared" si="127"/>
        <v>0</v>
      </c>
      <c r="BI185" s="141">
        <f t="shared" si="150"/>
        <v>0</v>
      </c>
      <c r="BJ185" s="147">
        <f t="shared" si="128"/>
        <v>0</v>
      </c>
      <c r="BK185" s="141">
        <f t="shared" si="129"/>
        <v>0</v>
      </c>
      <c r="BL185" s="141">
        <f t="shared" si="130"/>
        <v>0</v>
      </c>
      <c r="BM185" s="141">
        <f t="shared" si="131"/>
        <v>0</v>
      </c>
      <c r="BN185" s="141">
        <f t="shared" si="132"/>
        <v>0</v>
      </c>
      <c r="BO185" s="141">
        <f t="shared" si="133"/>
        <v>0</v>
      </c>
      <c r="BP185" s="141">
        <f t="shared" si="134"/>
        <v>0</v>
      </c>
      <c r="BT185" s="177"/>
      <c r="BU185" s="173"/>
      <c r="BV185" s="174"/>
      <c r="BW185" s="117"/>
      <c r="BX185" s="180"/>
      <c r="BY185" s="117"/>
      <c r="BZ185" s="181"/>
      <c r="CA185" s="182"/>
      <c r="CB185" s="176"/>
      <c r="CC185" s="176"/>
      <c r="CF185" s="170"/>
      <c r="CG185" s="171"/>
      <c r="CH185" s="170"/>
      <c r="CI185" s="171"/>
    </row>
    <row r="186" spans="2:87" s="108" customFormat="1" ht="15" hidden="1" customHeight="1">
      <c r="B186" s="109"/>
      <c r="C186" s="141" t="e">
        <f t="shared" si="109"/>
        <v>#NUM!</v>
      </c>
      <c r="D186" s="141">
        <f t="shared" si="111"/>
        <v>0</v>
      </c>
      <c r="E186" s="141"/>
      <c r="F186" s="142">
        <f t="shared" si="135"/>
        <v>0</v>
      </c>
      <c r="G186" s="143" t="s">
        <v>146</v>
      </c>
      <c r="H186" s="80">
        <f t="shared" si="112"/>
        <v>0</v>
      </c>
      <c r="I186" s="80" t="str">
        <f t="shared" si="136"/>
        <v/>
      </c>
      <c r="J186" s="144"/>
      <c r="K186" s="144"/>
      <c r="L186" s="144"/>
      <c r="M186" s="76"/>
      <c r="N186" s="77"/>
      <c r="O186" s="145"/>
      <c r="P186" s="77">
        <f t="shared" si="137"/>
        <v>0</v>
      </c>
      <c r="Q186" s="78"/>
      <c r="R186" s="79"/>
      <c r="S186" s="146">
        <f t="shared" si="110"/>
        <v>0</v>
      </c>
      <c r="T186" s="141" t="b">
        <f t="shared" si="151"/>
        <v>0</v>
      </c>
      <c r="U186" s="649">
        <f t="shared" si="113"/>
        <v>0</v>
      </c>
      <c r="V186" s="650"/>
      <c r="W186" s="649">
        <f t="shared" si="114"/>
        <v>0</v>
      </c>
      <c r="X186" s="650"/>
      <c r="Y186" s="649">
        <f t="shared" si="115"/>
        <v>0</v>
      </c>
      <c r="Z186" s="650"/>
      <c r="AA186" s="649">
        <f t="shared" si="116"/>
        <v>0</v>
      </c>
      <c r="AB186" s="650"/>
      <c r="AC186" s="649">
        <f t="shared" si="117"/>
        <v>0</v>
      </c>
      <c r="AD186" s="650"/>
      <c r="AE186" s="649">
        <f t="shared" si="118"/>
        <v>0</v>
      </c>
      <c r="AF186" s="650"/>
      <c r="AG186" s="649">
        <f t="shared" si="119"/>
        <v>0</v>
      </c>
      <c r="AH186" s="650"/>
      <c r="AI186" s="649">
        <f t="shared" si="120"/>
        <v>0</v>
      </c>
      <c r="AJ186" s="650"/>
      <c r="AK186" s="649">
        <f t="shared" si="121"/>
        <v>0</v>
      </c>
      <c r="AL186" s="650"/>
      <c r="AM186" s="649">
        <f t="shared" si="122"/>
        <v>0</v>
      </c>
      <c r="AN186" s="650"/>
      <c r="AO186" s="649">
        <f t="shared" si="123"/>
        <v>0</v>
      </c>
      <c r="AP186" s="650"/>
      <c r="AQ186" s="649">
        <f t="shared" si="124"/>
        <v>0</v>
      </c>
      <c r="AR186" s="650"/>
      <c r="AS186" s="651">
        <f t="shared" si="125"/>
        <v>0</v>
      </c>
      <c r="AT186" s="652"/>
      <c r="AU186" s="141">
        <f t="shared" si="138"/>
        <v>0</v>
      </c>
      <c r="AV186" s="141">
        <f t="shared" si="139"/>
        <v>0</v>
      </c>
      <c r="AW186" s="141">
        <f t="shared" si="140"/>
        <v>0</v>
      </c>
      <c r="AX186" s="141">
        <f t="shared" si="141"/>
        <v>0</v>
      </c>
      <c r="AY186" s="141">
        <f t="shared" si="142"/>
        <v>0</v>
      </c>
      <c r="AZ186" s="141">
        <f t="shared" si="143"/>
        <v>0</v>
      </c>
      <c r="BA186" s="141">
        <f t="shared" si="144"/>
        <v>0</v>
      </c>
      <c r="BB186" s="141">
        <f t="shared" si="145"/>
        <v>0</v>
      </c>
      <c r="BC186" s="141">
        <f t="shared" si="146"/>
        <v>0</v>
      </c>
      <c r="BD186" s="141">
        <f t="shared" si="147"/>
        <v>0</v>
      </c>
      <c r="BE186" s="141">
        <f t="shared" si="148"/>
        <v>0</v>
      </c>
      <c r="BF186" s="141">
        <f t="shared" si="149"/>
        <v>0</v>
      </c>
      <c r="BG186" s="141">
        <f t="shared" si="126"/>
        <v>0</v>
      </c>
      <c r="BH186" s="141">
        <f t="shared" si="127"/>
        <v>0</v>
      </c>
      <c r="BI186" s="141">
        <f t="shared" si="150"/>
        <v>0</v>
      </c>
      <c r="BJ186" s="147">
        <f t="shared" si="128"/>
        <v>0</v>
      </c>
      <c r="BK186" s="141">
        <f t="shared" si="129"/>
        <v>0</v>
      </c>
      <c r="BL186" s="141">
        <f t="shared" si="130"/>
        <v>0</v>
      </c>
      <c r="BM186" s="141">
        <f t="shared" si="131"/>
        <v>0</v>
      </c>
      <c r="BN186" s="141">
        <f t="shared" si="132"/>
        <v>0</v>
      </c>
      <c r="BO186" s="141">
        <f t="shared" si="133"/>
        <v>0</v>
      </c>
      <c r="BP186" s="141">
        <f t="shared" si="134"/>
        <v>0</v>
      </c>
      <c r="BT186" s="177"/>
      <c r="BU186" s="173"/>
      <c r="BV186" s="174"/>
      <c r="BW186" s="117"/>
      <c r="BX186" s="180"/>
      <c r="BY186" s="117"/>
      <c r="BZ186" s="181"/>
      <c r="CA186" s="182"/>
      <c r="CB186" s="176"/>
      <c r="CC186" s="176"/>
      <c r="CF186" s="170"/>
      <c r="CG186" s="171"/>
      <c r="CH186" s="170"/>
      <c r="CI186" s="171"/>
    </row>
    <row r="187" spans="2:87" s="108" customFormat="1" ht="15" hidden="1" customHeight="1">
      <c r="B187" s="109"/>
      <c r="C187" s="141" t="e">
        <f t="shared" si="109"/>
        <v>#NUM!</v>
      </c>
      <c r="D187" s="141">
        <f t="shared" si="111"/>
        <v>0</v>
      </c>
      <c r="E187" s="141" t="str">
        <f>IFERROR(DGET($BV$30:$CC$82,F187,G186:G187),"")</f>
        <v/>
      </c>
      <c r="F187" s="142">
        <f t="shared" si="135"/>
        <v>0</v>
      </c>
      <c r="G187" s="142" t="b">
        <f>IF(Q187&gt;0,IF(AND(S187&gt;0,S187&lt;2),CONCATENATE(Q187," ","0-2"),IF(AND(S187&gt;=2,S187&lt;8),CONCATENATE(Q187," ","2-8"),)))</f>
        <v>0</v>
      </c>
      <c r="H187" s="80">
        <f t="shared" si="112"/>
        <v>0</v>
      </c>
      <c r="I187" s="80" t="str">
        <f t="shared" si="136"/>
        <v/>
      </c>
      <c r="J187" s="76"/>
      <c r="K187" s="76"/>
      <c r="L187" s="76"/>
      <c r="M187" s="80"/>
      <c r="N187" s="79"/>
      <c r="O187" s="148"/>
      <c r="P187" s="77">
        <f t="shared" si="137"/>
        <v>0</v>
      </c>
      <c r="Q187" s="81"/>
      <c r="R187" s="77"/>
      <c r="S187" s="146">
        <f t="shared" si="110"/>
        <v>0</v>
      </c>
      <c r="T187" s="141" t="b">
        <f t="shared" si="151"/>
        <v>0</v>
      </c>
      <c r="U187" s="649">
        <f t="shared" si="113"/>
        <v>0</v>
      </c>
      <c r="V187" s="650"/>
      <c r="W187" s="649">
        <f t="shared" si="114"/>
        <v>0</v>
      </c>
      <c r="X187" s="650"/>
      <c r="Y187" s="649">
        <f t="shared" si="115"/>
        <v>0</v>
      </c>
      <c r="Z187" s="650"/>
      <c r="AA187" s="649">
        <f t="shared" si="116"/>
        <v>0</v>
      </c>
      <c r="AB187" s="650"/>
      <c r="AC187" s="649">
        <f t="shared" si="117"/>
        <v>0</v>
      </c>
      <c r="AD187" s="650"/>
      <c r="AE187" s="649">
        <f t="shared" si="118"/>
        <v>0</v>
      </c>
      <c r="AF187" s="650"/>
      <c r="AG187" s="649">
        <f t="shared" si="119"/>
        <v>0</v>
      </c>
      <c r="AH187" s="650"/>
      <c r="AI187" s="649">
        <f t="shared" si="120"/>
        <v>0</v>
      </c>
      <c r="AJ187" s="650"/>
      <c r="AK187" s="649">
        <f t="shared" si="121"/>
        <v>0</v>
      </c>
      <c r="AL187" s="650"/>
      <c r="AM187" s="649">
        <f t="shared" si="122"/>
        <v>0</v>
      </c>
      <c r="AN187" s="650"/>
      <c r="AO187" s="649">
        <f t="shared" si="123"/>
        <v>0</v>
      </c>
      <c r="AP187" s="650"/>
      <c r="AQ187" s="649">
        <f t="shared" si="124"/>
        <v>0</v>
      </c>
      <c r="AR187" s="650"/>
      <c r="AS187" s="651">
        <f t="shared" si="125"/>
        <v>0</v>
      </c>
      <c r="AT187" s="652"/>
      <c r="AU187" s="141">
        <f t="shared" si="138"/>
        <v>0</v>
      </c>
      <c r="AV187" s="141">
        <f t="shared" si="139"/>
        <v>0</v>
      </c>
      <c r="AW187" s="141">
        <f t="shared" si="140"/>
        <v>0</v>
      </c>
      <c r="AX187" s="141">
        <f t="shared" si="141"/>
        <v>0</v>
      </c>
      <c r="AY187" s="141">
        <f t="shared" si="142"/>
        <v>0</v>
      </c>
      <c r="AZ187" s="141">
        <f t="shared" si="143"/>
        <v>0</v>
      </c>
      <c r="BA187" s="141">
        <f t="shared" si="144"/>
        <v>0</v>
      </c>
      <c r="BB187" s="141">
        <f t="shared" si="145"/>
        <v>0</v>
      </c>
      <c r="BC187" s="141">
        <f t="shared" si="146"/>
        <v>0</v>
      </c>
      <c r="BD187" s="141">
        <f t="shared" si="147"/>
        <v>0</v>
      </c>
      <c r="BE187" s="141">
        <f t="shared" si="148"/>
        <v>0</v>
      </c>
      <c r="BF187" s="141">
        <f t="shared" si="149"/>
        <v>0</v>
      </c>
      <c r="BG187" s="141">
        <f t="shared" si="126"/>
        <v>0</v>
      </c>
      <c r="BH187" s="141">
        <f t="shared" si="127"/>
        <v>0</v>
      </c>
      <c r="BI187" s="141">
        <f t="shared" si="150"/>
        <v>0</v>
      </c>
      <c r="BJ187" s="147">
        <f t="shared" si="128"/>
        <v>0</v>
      </c>
      <c r="BK187" s="141">
        <f t="shared" si="129"/>
        <v>0</v>
      </c>
      <c r="BL187" s="141">
        <f t="shared" si="130"/>
        <v>0</v>
      </c>
      <c r="BM187" s="141">
        <f t="shared" si="131"/>
        <v>0</v>
      </c>
      <c r="BN187" s="141">
        <f t="shared" si="132"/>
        <v>0</v>
      </c>
      <c r="BO187" s="141">
        <f t="shared" si="133"/>
        <v>0</v>
      </c>
      <c r="BP187" s="141">
        <f t="shared" si="134"/>
        <v>0</v>
      </c>
      <c r="BT187" s="177"/>
      <c r="BU187" s="173"/>
      <c r="BV187" s="174"/>
      <c r="BW187" s="117"/>
      <c r="BX187" s="180"/>
      <c r="BY187" s="117"/>
      <c r="BZ187" s="181"/>
      <c r="CA187" s="182"/>
      <c r="CB187" s="176"/>
      <c r="CC187" s="176"/>
      <c r="CF187" s="170"/>
      <c r="CG187" s="171"/>
      <c r="CH187" s="170"/>
      <c r="CI187" s="171"/>
    </row>
    <row r="188" spans="2:87" s="108" customFormat="1" ht="15" hidden="1" customHeight="1">
      <c r="B188" s="109"/>
      <c r="C188" s="141" t="e">
        <f t="shared" si="109"/>
        <v>#NUM!</v>
      </c>
      <c r="D188" s="141">
        <f t="shared" si="111"/>
        <v>0</v>
      </c>
      <c r="E188" s="141"/>
      <c r="F188" s="142">
        <f t="shared" si="135"/>
        <v>0</v>
      </c>
      <c r="G188" s="143" t="s">
        <v>146</v>
      </c>
      <c r="H188" s="80">
        <f t="shared" si="112"/>
        <v>0</v>
      </c>
      <c r="I188" s="80" t="str">
        <f t="shared" si="136"/>
        <v/>
      </c>
      <c r="J188" s="144"/>
      <c r="K188" s="144"/>
      <c r="L188" s="144"/>
      <c r="M188" s="76"/>
      <c r="N188" s="77"/>
      <c r="O188" s="145"/>
      <c r="P188" s="77">
        <f t="shared" si="137"/>
        <v>0</v>
      </c>
      <c r="Q188" s="78"/>
      <c r="R188" s="79"/>
      <c r="S188" s="146">
        <f t="shared" si="110"/>
        <v>0</v>
      </c>
      <c r="T188" s="141" t="b">
        <f t="shared" si="151"/>
        <v>0</v>
      </c>
      <c r="U188" s="649">
        <f t="shared" si="113"/>
        <v>0</v>
      </c>
      <c r="V188" s="650"/>
      <c r="W188" s="649">
        <f t="shared" si="114"/>
        <v>0</v>
      </c>
      <c r="X188" s="650"/>
      <c r="Y188" s="649">
        <f t="shared" si="115"/>
        <v>0</v>
      </c>
      <c r="Z188" s="650"/>
      <c r="AA188" s="649">
        <f t="shared" si="116"/>
        <v>0</v>
      </c>
      <c r="AB188" s="650"/>
      <c r="AC188" s="649">
        <f t="shared" si="117"/>
        <v>0</v>
      </c>
      <c r="AD188" s="650"/>
      <c r="AE188" s="649">
        <f t="shared" si="118"/>
        <v>0</v>
      </c>
      <c r="AF188" s="650"/>
      <c r="AG188" s="649">
        <f t="shared" si="119"/>
        <v>0</v>
      </c>
      <c r="AH188" s="650"/>
      <c r="AI188" s="649">
        <f t="shared" si="120"/>
        <v>0</v>
      </c>
      <c r="AJ188" s="650"/>
      <c r="AK188" s="649">
        <f t="shared" si="121"/>
        <v>0</v>
      </c>
      <c r="AL188" s="650"/>
      <c r="AM188" s="649">
        <f t="shared" si="122"/>
        <v>0</v>
      </c>
      <c r="AN188" s="650"/>
      <c r="AO188" s="649">
        <f t="shared" si="123"/>
        <v>0</v>
      </c>
      <c r="AP188" s="650"/>
      <c r="AQ188" s="649">
        <f t="shared" si="124"/>
        <v>0</v>
      </c>
      <c r="AR188" s="650"/>
      <c r="AS188" s="651">
        <f t="shared" si="125"/>
        <v>0</v>
      </c>
      <c r="AT188" s="652"/>
      <c r="AU188" s="141">
        <f t="shared" si="138"/>
        <v>0</v>
      </c>
      <c r="AV188" s="141">
        <f t="shared" si="139"/>
        <v>0</v>
      </c>
      <c r="AW188" s="141">
        <f t="shared" si="140"/>
        <v>0</v>
      </c>
      <c r="AX188" s="141">
        <f t="shared" si="141"/>
        <v>0</v>
      </c>
      <c r="AY188" s="141">
        <f t="shared" si="142"/>
        <v>0</v>
      </c>
      <c r="AZ188" s="141">
        <f t="shared" si="143"/>
        <v>0</v>
      </c>
      <c r="BA188" s="141">
        <f t="shared" si="144"/>
        <v>0</v>
      </c>
      <c r="BB188" s="141">
        <f t="shared" si="145"/>
        <v>0</v>
      </c>
      <c r="BC188" s="141">
        <f t="shared" si="146"/>
        <v>0</v>
      </c>
      <c r="BD188" s="141">
        <f t="shared" si="147"/>
        <v>0</v>
      </c>
      <c r="BE188" s="141">
        <f t="shared" si="148"/>
        <v>0</v>
      </c>
      <c r="BF188" s="141">
        <f t="shared" si="149"/>
        <v>0</v>
      </c>
      <c r="BG188" s="141">
        <f t="shared" si="126"/>
        <v>0</v>
      </c>
      <c r="BH188" s="141">
        <f t="shared" si="127"/>
        <v>0</v>
      </c>
      <c r="BI188" s="141">
        <f t="shared" si="150"/>
        <v>0</v>
      </c>
      <c r="BJ188" s="147">
        <f t="shared" si="128"/>
        <v>0</v>
      </c>
      <c r="BK188" s="141">
        <f t="shared" si="129"/>
        <v>0</v>
      </c>
      <c r="BL188" s="141">
        <f t="shared" si="130"/>
        <v>0</v>
      </c>
      <c r="BM188" s="141">
        <f t="shared" si="131"/>
        <v>0</v>
      </c>
      <c r="BN188" s="141">
        <f t="shared" si="132"/>
        <v>0</v>
      </c>
      <c r="BO188" s="141">
        <f t="shared" si="133"/>
        <v>0</v>
      </c>
      <c r="BP188" s="141">
        <f t="shared" si="134"/>
        <v>0</v>
      </c>
      <c r="BT188" s="177"/>
      <c r="BU188" s="173"/>
      <c r="BV188" s="174"/>
      <c r="BW188" s="117"/>
      <c r="BX188" s="180"/>
      <c r="BY188" s="117"/>
      <c r="BZ188" s="181"/>
      <c r="CA188" s="182"/>
      <c r="CB188" s="176"/>
      <c r="CC188" s="176"/>
      <c r="CF188" s="170"/>
      <c r="CG188" s="171"/>
      <c r="CH188" s="170"/>
      <c r="CI188" s="171"/>
    </row>
    <row r="189" spans="2:87" s="108" customFormat="1" ht="15" hidden="1" customHeight="1">
      <c r="B189" s="109"/>
      <c r="C189" s="141" t="e">
        <f t="shared" si="109"/>
        <v>#NUM!</v>
      </c>
      <c r="D189" s="141">
        <f t="shared" si="111"/>
        <v>0</v>
      </c>
      <c r="E189" s="141" t="str">
        <f>IFERROR(DGET($BV$30:$CC$82,F189,G188:G189),"")</f>
        <v/>
      </c>
      <c r="F189" s="142">
        <f t="shared" si="135"/>
        <v>0</v>
      </c>
      <c r="G189" s="142" t="b">
        <f>IF(Q189&gt;0,IF(AND(S189&gt;0,S189&lt;2),CONCATENATE(Q189," ","0-2"),IF(AND(S189&gt;=2,S189&lt;8),CONCATENATE(Q189," ","2-8"),)))</f>
        <v>0</v>
      </c>
      <c r="H189" s="80">
        <f t="shared" si="112"/>
        <v>0</v>
      </c>
      <c r="I189" s="80" t="str">
        <f t="shared" si="136"/>
        <v/>
      </c>
      <c r="J189" s="76"/>
      <c r="K189" s="76"/>
      <c r="L189" s="76"/>
      <c r="M189" s="80"/>
      <c r="N189" s="79"/>
      <c r="O189" s="148"/>
      <c r="P189" s="77">
        <f t="shared" si="137"/>
        <v>0</v>
      </c>
      <c r="Q189" s="81"/>
      <c r="R189" s="77"/>
      <c r="S189" s="146">
        <f t="shared" si="110"/>
        <v>0</v>
      </c>
      <c r="T189" s="141" t="b">
        <f t="shared" si="151"/>
        <v>0</v>
      </c>
      <c r="U189" s="649">
        <f t="shared" si="113"/>
        <v>0</v>
      </c>
      <c r="V189" s="650"/>
      <c r="W189" s="649">
        <f t="shared" si="114"/>
        <v>0</v>
      </c>
      <c r="X189" s="650"/>
      <c r="Y189" s="649">
        <f t="shared" si="115"/>
        <v>0</v>
      </c>
      <c r="Z189" s="650"/>
      <c r="AA189" s="649">
        <f t="shared" si="116"/>
        <v>0</v>
      </c>
      <c r="AB189" s="650"/>
      <c r="AC189" s="649">
        <f t="shared" si="117"/>
        <v>0</v>
      </c>
      <c r="AD189" s="650"/>
      <c r="AE189" s="649">
        <f t="shared" si="118"/>
        <v>0</v>
      </c>
      <c r="AF189" s="650"/>
      <c r="AG189" s="649">
        <f t="shared" si="119"/>
        <v>0</v>
      </c>
      <c r="AH189" s="650"/>
      <c r="AI189" s="649">
        <f t="shared" si="120"/>
        <v>0</v>
      </c>
      <c r="AJ189" s="650"/>
      <c r="AK189" s="649">
        <f t="shared" si="121"/>
        <v>0</v>
      </c>
      <c r="AL189" s="650"/>
      <c r="AM189" s="649">
        <f t="shared" si="122"/>
        <v>0</v>
      </c>
      <c r="AN189" s="650"/>
      <c r="AO189" s="649">
        <f t="shared" si="123"/>
        <v>0</v>
      </c>
      <c r="AP189" s="650"/>
      <c r="AQ189" s="649">
        <f t="shared" si="124"/>
        <v>0</v>
      </c>
      <c r="AR189" s="650"/>
      <c r="AS189" s="651">
        <f t="shared" si="125"/>
        <v>0</v>
      </c>
      <c r="AT189" s="652"/>
      <c r="AU189" s="141">
        <f t="shared" si="138"/>
        <v>0</v>
      </c>
      <c r="AV189" s="141">
        <f t="shared" si="139"/>
        <v>0</v>
      </c>
      <c r="AW189" s="141">
        <f t="shared" si="140"/>
        <v>0</v>
      </c>
      <c r="AX189" s="141">
        <f t="shared" si="141"/>
        <v>0</v>
      </c>
      <c r="AY189" s="141">
        <f t="shared" si="142"/>
        <v>0</v>
      </c>
      <c r="AZ189" s="141">
        <f t="shared" si="143"/>
        <v>0</v>
      </c>
      <c r="BA189" s="141">
        <f t="shared" si="144"/>
        <v>0</v>
      </c>
      <c r="BB189" s="141">
        <f t="shared" si="145"/>
        <v>0</v>
      </c>
      <c r="BC189" s="141">
        <f t="shared" si="146"/>
        <v>0</v>
      </c>
      <c r="BD189" s="141">
        <f t="shared" si="147"/>
        <v>0</v>
      </c>
      <c r="BE189" s="141">
        <f t="shared" si="148"/>
        <v>0</v>
      </c>
      <c r="BF189" s="141">
        <f t="shared" si="149"/>
        <v>0</v>
      </c>
      <c r="BG189" s="141">
        <f t="shared" si="126"/>
        <v>0</v>
      </c>
      <c r="BH189" s="141">
        <f t="shared" si="127"/>
        <v>0</v>
      </c>
      <c r="BI189" s="141">
        <f t="shared" si="150"/>
        <v>0</v>
      </c>
      <c r="BJ189" s="147">
        <f t="shared" si="128"/>
        <v>0</v>
      </c>
      <c r="BK189" s="141">
        <f t="shared" si="129"/>
        <v>0</v>
      </c>
      <c r="BL189" s="141">
        <f t="shared" si="130"/>
        <v>0</v>
      </c>
      <c r="BM189" s="141">
        <f t="shared" si="131"/>
        <v>0</v>
      </c>
      <c r="BN189" s="141">
        <f t="shared" si="132"/>
        <v>0</v>
      </c>
      <c r="BO189" s="141">
        <f t="shared" si="133"/>
        <v>0</v>
      </c>
      <c r="BP189" s="141">
        <f t="shared" si="134"/>
        <v>0</v>
      </c>
      <c r="BT189" s="177"/>
      <c r="BU189" s="173"/>
      <c r="BV189" s="174"/>
      <c r="BW189" s="117"/>
      <c r="BX189" s="180"/>
      <c r="BY189" s="117"/>
      <c r="BZ189" s="181"/>
      <c r="CA189" s="182"/>
      <c r="CB189" s="176"/>
      <c r="CC189" s="176"/>
      <c r="CF189" s="170"/>
      <c r="CG189" s="171"/>
      <c r="CH189" s="170"/>
      <c r="CI189" s="171"/>
    </row>
    <row r="190" spans="2:87" s="108" customFormat="1" ht="15" hidden="1" customHeight="1">
      <c r="B190" s="109"/>
      <c r="C190" s="141" t="e">
        <f t="shared" si="109"/>
        <v>#NUM!</v>
      </c>
      <c r="D190" s="141">
        <f t="shared" si="111"/>
        <v>0</v>
      </c>
      <c r="E190" s="141"/>
      <c r="F190" s="142">
        <f t="shared" si="135"/>
        <v>0</v>
      </c>
      <c r="G190" s="143" t="s">
        <v>146</v>
      </c>
      <c r="H190" s="80">
        <f t="shared" si="112"/>
        <v>0</v>
      </c>
      <c r="I190" s="80" t="str">
        <f t="shared" si="136"/>
        <v/>
      </c>
      <c r="J190" s="144"/>
      <c r="K190" s="144"/>
      <c r="L190" s="144"/>
      <c r="M190" s="76"/>
      <c r="N190" s="77"/>
      <c r="O190" s="145"/>
      <c r="P190" s="77">
        <f t="shared" si="137"/>
        <v>0</v>
      </c>
      <c r="Q190" s="78"/>
      <c r="R190" s="79"/>
      <c r="S190" s="146">
        <f t="shared" si="110"/>
        <v>0</v>
      </c>
      <c r="T190" s="141" t="b">
        <f t="shared" si="151"/>
        <v>0</v>
      </c>
      <c r="U190" s="649">
        <f t="shared" si="113"/>
        <v>0</v>
      </c>
      <c r="V190" s="650"/>
      <c r="W190" s="649">
        <f t="shared" si="114"/>
        <v>0</v>
      </c>
      <c r="X190" s="650"/>
      <c r="Y190" s="649">
        <f t="shared" si="115"/>
        <v>0</v>
      </c>
      <c r="Z190" s="650"/>
      <c r="AA190" s="649">
        <f t="shared" si="116"/>
        <v>0</v>
      </c>
      <c r="AB190" s="650"/>
      <c r="AC190" s="649">
        <f t="shared" si="117"/>
        <v>0</v>
      </c>
      <c r="AD190" s="650"/>
      <c r="AE190" s="649">
        <f t="shared" si="118"/>
        <v>0</v>
      </c>
      <c r="AF190" s="650"/>
      <c r="AG190" s="649">
        <f t="shared" si="119"/>
        <v>0</v>
      </c>
      <c r="AH190" s="650"/>
      <c r="AI190" s="649">
        <f t="shared" si="120"/>
        <v>0</v>
      </c>
      <c r="AJ190" s="650"/>
      <c r="AK190" s="649">
        <f t="shared" si="121"/>
        <v>0</v>
      </c>
      <c r="AL190" s="650"/>
      <c r="AM190" s="649">
        <f t="shared" si="122"/>
        <v>0</v>
      </c>
      <c r="AN190" s="650"/>
      <c r="AO190" s="649">
        <f t="shared" si="123"/>
        <v>0</v>
      </c>
      <c r="AP190" s="650"/>
      <c r="AQ190" s="649">
        <f t="shared" si="124"/>
        <v>0</v>
      </c>
      <c r="AR190" s="650"/>
      <c r="AS190" s="651">
        <f t="shared" si="125"/>
        <v>0</v>
      </c>
      <c r="AT190" s="652"/>
      <c r="AU190" s="141">
        <f t="shared" si="138"/>
        <v>0</v>
      </c>
      <c r="AV190" s="141">
        <f t="shared" si="139"/>
        <v>0</v>
      </c>
      <c r="AW190" s="141">
        <f t="shared" si="140"/>
        <v>0</v>
      </c>
      <c r="AX190" s="141">
        <f t="shared" si="141"/>
        <v>0</v>
      </c>
      <c r="AY190" s="141">
        <f t="shared" si="142"/>
        <v>0</v>
      </c>
      <c r="AZ190" s="141">
        <f t="shared" si="143"/>
        <v>0</v>
      </c>
      <c r="BA190" s="141">
        <f t="shared" si="144"/>
        <v>0</v>
      </c>
      <c r="BB190" s="141">
        <f t="shared" si="145"/>
        <v>0</v>
      </c>
      <c r="BC190" s="141">
        <f t="shared" si="146"/>
        <v>0</v>
      </c>
      <c r="BD190" s="141">
        <f t="shared" si="147"/>
        <v>0</v>
      </c>
      <c r="BE190" s="141">
        <f t="shared" si="148"/>
        <v>0</v>
      </c>
      <c r="BF190" s="141">
        <f t="shared" si="149"/>
        <v>0</v>
      </c>
      <c r="BG190" s="141">
        <f t="shared" si="126"/>
        <v>0</v>
      </c>
      <c r="BH190" s="141">
        <f t="shared" si="127"/>
        <v>0</v>
      </c>
      <c r="BI190" s="141">
        <f t="shared" si="150"/>
        <v>0</v>
      </c>
      <c r="BJ190" s="147">
        <f t="shared" si="128"/>
        <v>0</v>
      </c>
      <c r="BK190" s="141">
        <f t="shared" si="129"/>
        <v>0</v>
      </c>
      <c r="BL190" s="141">
        <f t="shared" si="130"/>
        <v>0</v>
      </c>
      <c r="BM190" s="141">
        <f t="shared" si="131"/>
        <v>0</v>
      </c>
      <c r="BN190" s="141">
        <f t="shared" si="132"/>
        <v>0</v>
      </c>
      <c r="BO190" s="141">
        <f t="shared" si="133"/>
        <v>0</v>
      </c>
      <c r="BP190" s="141">
        <f t="shared" si="134"/>
        <v>0</v>
      </c>
      <c r="BT190" s="177"/>
      <c r="BU190" s="173"/>
      <c r="BV190" s="174"/>
      <c r="BW190" s="117"/>
      <c r="BX190" s="180"/>
      <c r="BY190" s="117"/>
      <c r="BZ190" s="181"/>
      <c r="CA190" s="182"/>
      <c r="CB190" s="176"/>
      <c r="CC190" s="176"/>
      <c r="CF190" s="170"/>
      <c r="CG190" s="171"/>
      <c r="CH190" s="170"/>
      <c r="CI190" s="171"/>
    </row>
    <row r="191" spans="2:87" s="108" customFormat="1" ht="15" hidden="1" customHeight="1">
      <c r="B191" s="109"/>
      <c r="C191" s="141" t="e">
        <f t="shared" si="109"/>
        <v>#NUM!</v>
      </c>
      <c r="D191" s="141">
        <f t="shared" si="111"/>
        <v>0</v>
      </c>
      <c r="E191" s="141" t="str">
        <f>IFERROR(DGET($BV$30:$CC$82,F191,G190:G191),"")</f>
        <v/>
      </c>
      <c r="F191" s="142">
        <f t="shared" si="135"/>
        <v>0</v>
      </c>
      <c r="G191" s="142" t="b">
        <f>IF(Q191&gt;0,IF(AND(S191&gt;0,S191&lt;2),CONCATENATE(Q191," ","0-2"),IF(AND(S191&gt;=2,S191&lt;8),CONCATENATE(Q191," ","2-8"),)))</f>
        <v>0</v>
      </c>
      <c r="H191" s="80">
        <f t="shared" si="112"/>
        <v>0</v>
      </c>
      <c r="I191" s="80" t="str">
        <f t="shared" si="136"/>
        <v/>
      </c>
      <c r="J191" s="76"/>
      <c r="K191" s="76"/>
      <c r="L191" s="76"/>
      <c r="M191" s="80"/>
      <c r="N191" s="79"/>
      <c r="O191" s="148"/>
      <c r="P191" s="77">
        <f t="shared" si="137"/>
        <v>0</v>
      </c>
      <c r="Q191" s="81"/>
      <c r="R191" s="77"/>
      <c r="S191" s="146">
        <f t="shared" si="110"/>
        <v>0</v>
      </c>
      <c r="T191" s="141" t="b">
        <f t="shared" si="151"/>
        <v>0</v>
      </c>
      <c r="U191" s="649">
        <f t="shared" si="113"/>
        <v>0</v>
      </c>
      <c r="V191" s="650"/>
      <c r="W191" s="649">
        <f t="shared" si="114"/>
        <v>0</v>
      </c>
      <c r="X191" s="650"/>
      <c r="Y191" s="649">
        <f t="shared" si="115"/>
        <v>0</v>
      </c>
      <c r="Z191" s="650"/>
      <c r="AA191" s="649">
        <f t="shared" si="116"/>
        <v>0</v>
      </c>
      <c r="AB191" s="650"/>
      <c r="AC191" s="649">
        <f t="shared" si="117"/>
        <v>0</v>
      </c>
      <c r="AD191" s="650"/>
      <c r="AE191" s="649">
        <f t="shared" si="118"/>
        <v>0</v>
      </c>
      <c r="AF191" s="650"/>
      <c r="AG191" s="649">
        <f t="shared" si="119"/>
        <v>0</v>
      </c>
      <c r="AH191" s="650"/>
      <c r="AI191" s="649">
        <f t="shared" si="120"/>
        <v>0</v>
      </c>
      <c r="AJ191" s="650"/>
      <c r="AK191" s="649">
        <f t="shared" si="121"/>
        <v>0</v>
      </c>
      <c r="AL191" s="650"/>
      <c r="AM191" s="649">
        <f t="shared" si="122"/>
        <v>0</v>
      </c>
      <c r="AN191" s="650"/>
      <c r="AO191" s="649">
        <f t="shared" si="123"/>
        <v>0</v>
      </c>
      <c r="AP191" s="650"/>
      <c r="AQ191" s="649">
        <f t="shared" si="124"/>
        <v>0</v>
      </c>
      <c r="AR191" s="650"/>
      <c r="AS191" s="651">
        <f t="shared" si="125"/>
        <v>0</v>
      </c>
      <c r="AT191" s="652"/>
      <c r="AU191" s="141">
        <f t="shared" si="138"/>
        <v>0</v>
      </c>
      <c r="AV191" s="141">
        <f t="shared" si="139"/>
        <v>0</v>
      </c>
      <c r="AW191" s="141">
        <f t="shared" si="140"/>
        <v>0</v>
      </c>
      <c r="AX191" s="141">
        <f t="shared" si="141"/>
        <v>0</v>
      </c>
      <c r="AY191" s="141">
        <f t="shared" si="142"/>
        <v>0</v>
      </c>
      <c r="AZ191" s="141">
        <f t="shared" si="143"/>
        <v>0</v>
      </c>
      <c r="BA191" s="141">
        <f t="shared" si="144"/>
        <v>0</v>
      </c>
      <c r="BB191" s="141">
        <f t="shared" si="145"/>
        <v>0</v>
      </c>
      <c r="BC191" s="141">
        <f t="shared" si="146"/>
        <v>0</v>
      </c>
      <c r="BD191" s="141">
        <f t="shared" si="147"/>
        <v>0</v>
      </c>
      <c r="BE191" s="141">
        <f t="shared" si="148"/>
        <v>0</v>
      </c>
      <c r="BF191" s="141">
        <f t="shared" si="149"/>
        <v>0</v>
      </c>
      <c r="BG191" s="141">
        <f t="shared" si="126"/>
        <v>0</v>
      </c>
      <c r="BH191" s="141">
        <f t="shared" si="127"/>
        <v>0</v>
      </c>
      <c r="BI191" s="141">
        <f t="shared" si="150"/>
        <v>0</v>
      </c>
      <c r="BJ191" s="147">
        <f t="shared" si="128"/>
        <v>0</v>
      </c>
      <c r="BK191" s="141">
        <f t="shared" si="129"/>
        <v>0</v>
      </c>
      <c r="BL191" s="141">
        <f t="shared" si="130"/>
        <v>0</v>
      </c>
      <c r="BM191" s="141">
        <f t="shared" si="131"/>
        <v>0</v>
      </c>
      <c r="BN191" s="141">
        <f t="shared" si="132"/>
        <v>0</v>
      </c>
      <c r="BO191" s="141">
        <f t="shared" si="133"/>
        <v>0</v>
      </c>
      <c r="BP191" s="141">
        <f t="shared" si="134"/>
        <v>0</v>
      </c>
      <c r="BT191" s="177"/>
      <c r="BU191" s="173"/>
      <c r="BV191" s="174"/>
      <c r="BW191" s="117"/>
      <c r="BX191" s="180"/>
      <c r="BY191" s="117"/>
      <c r="BZ191" s="181"/>
      <c r="CA191" s="182"/>
      <c r="CB191" s="176"/>
      <c r="CC191" s="176"/>
      <c r="CF191" s="170"/>
      <c r="CG191" s="171"/>
      <c r="CH191" s="170"/>
      <c r="CI191" s="171"/>
    </row>
    <row r="192" spans="2:87" s="108" customFormat="1" ht="15" hidden="1" customHeight="1">
      <c r="B192" s="109"/>
      <c r="C192" s="141" t="e">
        <f t="shared" si="109"/>
        <v>#NUM!</v>
      </c>
      <c r="D192" s="141">
        <f t="shared" si="111"/>
        <v>0</v>
      </c>
      <c r="E192" s="141"/>
      <c r="F192" s="142">
        <f t="shared" si="135"/>
        <v>0</v>
      </c>
      <c r="G192" s="143" t="s">
        <v>146</v>
      </c>
      <c r="H192" s="80">
        <f t="shared" si="112"/>
        <v>0</v>
      </c>
      <c r="I192" s="80" t="str">
        <f t="shared" si="136"/>
        <v/>
      </c>
      <c r="J192" s="144"/>
      <c r="K192" s="144"/>
      <c r="L192" s="144"/>
      <c r="M192" s="76"/>
      <c r="N192" s="77"/>
      <c r="O192" s="145"/>
      <c r="P192" s="77">
        <f t="shared" si="137"/>
        <v>0</v>
      </c>
      <c r="Q192" s="78"/>
      <c r="R192" s="79"/>
      <c r="S192" s="146">
        <f t="shared" si="110"/>
        <v>0</v>
      </c>
      <c r="T192" s="141" t="b">
        <f t="shared" si="151"/>
        <v>0</v>
      </c>
      <c r="U192" s="649">
        <f t="shared" si="113"/>
        <v>0</v>
      </c>
      <c r="V192" s="650"/>
      <c r="W192" s="649">
        <f t="shared" si="114"/>
        <v>0</v>
      </c>
      <c r="X192" s="650"/>
      <c r="Y192" s="649">
        <f t="shared" si="115"/>
        <v>0</v>
      </c>
      <c r="Z192" s="650"/>
      <c r="AA192" s="649">
        <f t="shared" si="116"/>
        <v>0</v>
      </c>
      <c r="AB192" s="650"/>
      <c r="AC192" s="649">
        <f t="shared" si="117"/>
        <v>0</v>
      </c>
      <c r="AD192" s="650"/>
      <c r="AE192" s="649">
        <f t="shared" si="118"/>
        <v>0</v>
      </c>
      <c r="AF192" s="650"/>
      <c r="AG192" s="649">
        <f t="shared" si="119"/>
        <v>0</v>
      </c>
      <c r="AH192" s="650"/>
      <c r="AI192" s="649">
        <f t="shared" si="120"/>
        <v>0</v>
      </c>
      <c r="AJ192" s="650"/>
      <c r="AK192" s="649">
        <f t="shared" si="121"/>
        <v>0</v>
      </c>
      <c r="AL192" s="650"/>
      <c r="AM192" s="649">
        <f t="shared" si="122"/>
        <v>0</v>
      </c>
      <c r="AN192" s="650"/>
      <c r="AO192" s="649">
        <f t="shared" si="123"/>
        <v>0</v>
      </c>
      <c r="AP192" s="650"/>
      <c r="AQ192" s="649">
        <f t="shared" si="124"/>
        <v>0</v>
      </c>
      <c r="AR192" s="650"/>
      <c r="AS192" s="651">
        <f t="shared" si="125"/>
        <v>0</v>
      </c>
      <c r="AT192" s="652"/>
      <c r="AU192" s="141">
        <f t="shared" si="138"/>
        <v>0</v>
      </c>
      <c r="AV192" s="141">
        <f t="shared" si="139"/>
        <v>0</v>
      </c>
      <c r="AW192" s="141">
        <f t="shared" si="140"/>
        <v>0</v>
      </c>
      <c r="AX192" s="141">
        <f t="shared" si="141"/>
        <v>0</v>
      </c>
      <c r="AY192" s="141">
        <f t="shared" si="142"/>
        <v>0</v>
      </c>
      <c r="AZ192" s="141">
        <f t="shared" si="143"/>
        <v>0</v>
      </c>
      <c r="BA192" s="141">
        <f t="shared" si="144"/>
        <v>0</v>
      </c>
      <c r="BB192" s="141">
        <f t="shared" si="145"/>
        <v>0</v>
      </c>
      <c r="BC192" s="141">
        <f t="shared" si="146"/>
        <v>0</v>
      </c>
      <c r="BD192" s="141">
        <f t="shared" si="147"/>
        <v>0</v>
      </c>
      <c r="BE192" s="141">
        <f t="shared" si="148"/>
        <v>0</v>
      </c>
      <c r="BF192" s="141">
        <f t="shared" si="149"/>
        <v>0</v>
      </c>
      <c r="BG192" s="141">
        <f t="shared" si="126"/>
        <v>0</v>
      </c>
      <c r="BH192" s="141">
        <f t="shared" si="127"/>
        <v>0</v>
      </c>
      <c r="BI192" s="141">
        <f t="shared" si="150"/>
        <v>0</v>
      </c>
      <c r="BJ192" s="147">
        <f t="shared" si="128"/>
        <v>0</v>
      </c>
      <c r="BK192" s="141">
        <f t="shared" si="129"/>
        <v>0</v>
      </c>
      <c r="BL192" s="141">
        <f t="shared" si="130"/>
        <v>0</v>
      </c>
      <c r="BM192" s="141">
        <f t="shared" si="131"/>
        <v>0</v>
      </c>
      <c r="BN192" s="141">
        <f t="shared" si="132"/>
        <v>0</v>
      </c>
      <c r="BO192" s="141">
        <f t="shared" si="133"/>
        <v>0</v>
      </c>
      <c r="BP192" s="141">
        <f t="shared" si="134"/>
        <v>0</v>
      </c>
      <c r="BT192" s="177"/>
      <c r="BU192" s="173"/>
      <c r="BV192" s="174"/>
      <c r="BW192" s="117"/>
      <c r="BX192" s="180"/>
      <c r="BY192" s="117"/>
      <c r="BZ192" s="181"/>
      <c r="CA192" s="182"/>
      <c r="CB192" s="176"/>
      <c r="CC192" s="176"/>
      <c r="CF192" s="170"/>
      <c r="CG192" s="171"/>
      <c r="CH192" s="170"/>
      <c r="CI192" s="171"/>
    </row>
    <row r="193" spans="2:87" s="108" customFormat="1" ht="15" hidden="1" customHeight="1">
      <c r="B193" s="109"/>
      <c r="C193" s="141" t="e">
        <f t="shared" si="109"/>
        <v>#NUM!</v>
      </c>
      <c r="D193" s="141">
        <f t="shared" si="111"/>
        <v>0</v>
      </c>
      <c r="E193" s="141" t="str">
        <f>IFERROR(DGET($BV$30:$CC$82,F193,G192:G193),"")</f>
        <v/>
      </c>
      <c r="F193" s="142">
        <f t="shared" si="135"/>
        <v>0</v>
      </c>
      <c r="G193" s="142" t="b">
        <f>IF(Q193&gt;0,IF(AND(S193&gt;0,S193&lt;2),CONCATENATE(Q193," ","0-2"),IF(AND(S193&gt;=2,S193&lt;8),CONCATENATE(Q193," ","2-8"),)))</f>
        <v>0</v>
      </c>
      <c r="H193" s="80">
        <f t="shared" si="112"/>
        <v>0</v>
      </c>
      <c r="I193" s="80" t="str">
        <f t="shared" si="136"/>
        <v/>
      </c>
      <c r="J193" s="76"/>
      <c r="K193" s="76"/>
      <c r="L193" s="76"/>
      <c r="M193" s="80"/>
      <c r="N193" s="79"/>
      <c r="O193" s="148"/>
      <c r="P193" s="77">
        <f t="shared" si="137"/>
        <v>0</v>
      </c>
      <c r="Q193" s="81"/>
      <c r="R193" s="77"/>
      <c r="S193" s="146">
        <f t="shared" si="110"/>
        <v>0</v>
      </c>
      <c r="T193" s="141" t="b">
        <f t="shared" si="151"/>
        <v>0</v>
      </c>
      <c r="U193" s="649">
        <f t="shared" si="113"/>
        <v>0</v>
      </c>
      <c r="V193" s="650"/>
      <c r="W193" s="649">
        <f t="shared" si="114"/>
        <v>0</v>
      </c>
      <c r="X193" s="650"/>
      <c r="Y193" s="649">
        <f t="shared" si="115"/>
        <v>0</v>
      </c>
      <c r="Z193" s="650"/>
      <c r="AA193" s="649">
        <f t="shared" si="116"/>
        <v>0</v>
      </c>
      <c r="AB193" s="650"/>
      <c r="AC193" s="649">
        <f t="shared" si="117"/>
        <v>0</v>
      </c>
      <c r="AD193" s="650"/>
      <c r="AE193" s="649">
        <f t="shared" si="118"/>
        <v>0</v>
      </c>
      <c r="AF193" s="650"/>
      <c r="AG193" s="649">
        <f t="shared" si="119"/>
        <v>0</v>
      </c>
      <c r="AH193" s="650"/>
      <c r="AI193" s="649">
        <f t="shared" si="120"/>
        <v>0</v>
      </c>
      <c r="AJ193" s="650"/>
      <c r="AK193" s="649">
        <f t="shared" si="121"/>
        <v>0</v>
      </c>
      <c r="AL193" s="650"/>
      <c r="AM193" s="649">
        <f t="shared" si="122"/>
        <v>0</v>
      </c>
      <c r="AN193" s="650"/>
      <c r="AO193" s="649">
        <f t="shared" si="123"/>
        <v>0</v>
      </c>
      <c r="AP193" s="650"/>
      <c r="AQ193" s="649">
        <f t="shared" si="124"/>
        <v>0</v>
      </c>
      <c r="AR193" s="650"/>
      <c r="AS193" s="651">
        <f t="shared" si="125"/>
        <v>0</v>
      </c>
      <c r="AT193" s="652"/>
      <c r="AU193" s="141">
        <f t="shared" si="138"/>
        <v>0</v>
      </c>
      <c r="AV193" s="141">
        <f t="shared" si="139"/>
        <v>0</v>
      </c>
      <c r="AW193" s="141">
        <f t="shared" si="140"/>
        <v>0</v>
      </c>
      <c r="AX193" s="141">
        <f t="shared" si="141"/>
        <v>0</v>
      </c>
      <c r="AY193" s="141">
        <f t="shared" si="142"/>
        <v>0</v>
      </c>
      <c r="AZ193" s="141">
        <f t="shared" si="143"/>
        <v>0</v>
      </c>
      <c r="BA193" s="141">
        <f t="shared" si="144"/>
        <v>0</v>
      </c>
      <c r="BB193" s="141">
        <f t="shared" si="145"/>
        <v>0</v>
      </c>
      <c r="BC193" s="141">
        <f t="shared" si="146"/>
        <v>0</v>
      </c>
      <c r="BD193" s="141">
        <f t="shared" si="147"/>
        <v>0</v>
      </c>
      <c r="BE193" s="141">
        <f t="shared" si="148"/>
        <v>0</v>
      </c>
      <c r="BF193" s="141">
        <f t="shared" si="149"/>
        <v>0</v>
      </c>
      <c r="BG193" s="141">
        <f t="shared" si="126"/>
        <v>0</v>
      </c>
      <c r="BH193" s="141">
        <f t="shared" si="127"/>
        <v>0</v>
      </c>
      <c r="BI193" s="141">
        <f t="shared" si="150"/>
        <v>0</v>
      </c>
      <c r="BJ193" s="147">
        <f t="shared" si="128"/>
        <v>0</v>
      </c>
      <c r="BK193" s="141">
        <f t="shared" si="129"/>
        <v>0</v>
      </c>
      <c r="BL193" s="141">
        <f t="shared" si="130"/>
        <v>0</v>
      </c>
      <c r="BM193" s="141">
        <f t="shared" si="131"/>
        <v>0</v>
      </c>
      <c r="BN193" s="141">
        <f t="shared" si="132"/>
        <v>0</v>
      </c>
      <c r="BO193" s="141">
        <f t="shared" si="133"/>
        <v>0</v>
      </c>
      <c r="BP193" s="141">
        <f t="shared" si="134"/>
        <v>0</v>
      </c>
      <c r="BT193" s="177"/>
      <c r="BU193" s="173"/>
      <c r="BV193" s="174"/>
      <c r="BW193" s="117"/>
      <c r="BX193" s="180"/>
      <c r="BY193" s="117"/>
      <c r="BZ193" s="181"/>
      <c r="CA193" s="182"/>
      <c r="CB193" s="176"/>
      <c r="CC193" s="176"/>
      <c r="CF193" s="170"/>
      <c r="CG193" s="171"/>
      <c r="CH193" s="170"/>
      <c r="CI193" s="171"/>
    </row>
    <row r="194" spans="2:87" s="108" customFormat="1" ht="15" hidden="1" customHeight="1">
      <c r="B194" s="109"/>
      <c r="C194" s="141" t="e">
        <f t="shared" si="109"/>
        <v>#NUM!</v>
      </c>
      <c r="D194" s="141">
        <f t="shared" si="111"/>
        <v>0</v>
      </c>
      <c r="E194" s="141"/>
      <c r="F194" s="142">
        <f t="shared" si="135"/>
        <v>0</v>
      </c>
      <c r="G194" s="143" t="s">
        <v>146</v>
      </c>
      <c r="H194" s="80">
        <f t="shared" si="112"/>
        <v>0</v>
      </c>
      <c r="I194" s="80" t="str">
        <f t="shared" si="136"/>
        <v/>
      </c>
      <c r="J194" s="144"/>
      <c r="K194" s="144"/>
      <c r="L194" s="144"/>
      <c r="M194" s="76"/>
      <c r="N194" s="77"/>
      <c r="O194" s="145"/>
      <c r="P194" s="77">
        <f t="shared" si="137"/>
        <v>0</v>
      </c>
      <c r="Q194" s="78"/>
      <c r="R194" s="79"/>
      <c r="S194" s="146">
        <f t="shared" si="110"/>
        <v>0</v>
      </c>
      <c r="T194" s="141" t="b">
        <f t="shared" si="151"/>
        <v>0</v>
      </c>
      <c r="U194" s="649">
        <f t="shared" si="113"/>
        <v>0</v>
      </c>
      <c r="V194" s="650"/>
      <c r="W194" s="649">
        <f t="shared" si="114"/>
        <v>0</v>
      </c>
      <c r="X194" s="650"/>
      <c r="Y194" s="649">
        <f t="shared" si="115"/>
        <v>0</v>
      </c>
      <c r="Z194" s="650"/>
      <c r="AA194" s="649">
        <f t="shared" si="116"/>
        <v>0</v>
      </c>
      <c r="AB194" s="650"/>
      <c r="AC194" s="649">
        <f t="shared" si="117"/>
        <v>0</v>
      </c>
      <c r="AD194" s="650"/>
      <c r="AE194" s="649">
        <f t="shared" si="118"/>
        <v>0</v>
      </c>
      <c r="AF194" s="650"/>
      <c r="AG194" s="649">
        <f t="shared" si="119"/>
        <v>0</v>
      </c>
      <c r="AH194" s="650"/>
      <c r="AI194" s="649">
        <f t="shared" si="120"/>
        <v>0</v>
      </c>
      <c r="AJ194" s="650"/>
      <c r="AK194" s="649">
        <f t="shared" si="121"/>
        <v>0</v>
      </c>
      <c r="AL194" s="650"/>
      <c r="AM194" s="649">
        <f t="shared" si="122"/>
        <v>0</v>
      </c>
      <c r="AN194" s="650"/>
      <c r="AO194" s="649">
        <f t="shared" si="123"/>
        <v>0</v>
      </c>
      <c r="AP194" s="650"/>
      <c r="AQ194" s="649">
        <f t="shared" si="124"/>
        <v>0</v>
      </c>
      <c r="AR194" s="650"/>
      <c r="AS194" s="651">
        <f t="shared" si="125"/>
        <v>0</v>
      </c>
      <c r="AT194" s="652"/>
      <c r="AU194" s="141">
        <f t="shared" si="138"/>
        <v>0</v>
      </c>
      <c r="AV194" s="141">
        <f t="shared" si="139"/>
        <v>0</v>
      </c>
      <c r="AW194" s="141">
        <f t="shared" si="140"/>
        <v>0</v>
      </c>
      <c r="AX194" s="141">
        <f t="shared" si="141"/>
        <v>0</v>
      </c>
      <c r="AY194" s="141">
        <f t="shared" si="142"/>
        <v>0</v>
      </c>
      <c r="AZ194" s="141">
        <f t="shared" si="143"/>
        <v>0</v>
      </c>
      <c r="BA194" s="141">
        <f t="shared" si="144"/>
        <v>0</v>
      </c>
      <c r="BB194" s="141">
        <f t="shared" si="145"/>
        <v>0</v>
      </c>
      <c r="BC194" s="141">
        <f t="shared" si="146"/>
        <v>0</v>
      </c>
      <c r="BD194" s="141">
        <f t="shared" si="147"/>
        <v>0</v>
      </c>
      <c r="BE194" s="141">
        <f t="shared" si="148"/>
        <v>0</v>
      </c>
      <c r="BF194" s="141">
        <f t="shared" si="149"/>
        <v>0</v>
      </c>
      <c r="BG194" s="141">
        <f t="shared" si="126"/>
        <v>0</v>
      </c>
      <c r="BH194" s="141">
        <f t="shared" si="127"/>
        <v>0</v>
      </c>
      <c r="BI194" s="141">
        <f t="shared" si="150"/>
        <v>0</v>
      </c>
      <c r="BJ194" s="147">
        <f t="shared" si="128"/>
        <v>0</v>
      </c>
      <c r="BK194" s="141">
        <f t="shared" si="129"/>
        <v>0</v>
      </c>
      <c r="BL194" s="141">
        <f t="shared" si="130"/>
        <v>0</v>
      </c>
      <c r="BM194" s="141">
        <f t="shared" si="131"/>
        <v>0</v>
      </c>
      <c r="BN194" s="141">
        <f t="shared" si="132"/>
        <v>0</v>
      </c>
      <c r="BO194" s="141">
        <f t="shared" si="133"/>
        <v>0</v>
      </c>
      <c r="BP194" s="141">
        <f t="shared" si="134"/>
        <v>0</v>
      </c>
      <c r="BT194" s="177"/>
      <c r="BU194" s="173"/>
      <c r="BV194" s="174"/>
      <c r="BW194" s="117"/>
      <c r="BX194" s="180"/>
      <c r="BY194" s="117"/>
      <c r="BZ194" s="181"/>
      <c r="CA194" s="182"/>
      <c r="CB194" s="176"/>
      <c r="CC194" s="176"/>
      <c r="CF194" s="170"/>
      <c r="CG194" s="171"/>
      <c r="CH194" s="170"/>
      <c r="CI194" s="171"/>
    </row>
    <row r="195" spans="2:87" s="108" customFormat="1" ht="15" hidden="1" customHeight="1">
      <c r="B195" s="109"/>
      <c r="C195" s="141" t="e">
        <f t="shared" ref="C195:C258" si="152">IF(AND(LARGE(Q194:Q196,1)&gt;=$A$11,LARGE(Q194:Q196,1)&lt;=$B$11),500,IF(AND(LARGE(Q194:Q196,1)&gt;=$A$12,LARGE(Q194:Q196,1)&lt;=$B$12),500,IF(AND(LARGE(Q194:Q196,1)&gt;=$A$13,LARGE(Q194:Q196,1)&lt;=$B$13),600,IF(AND(LARGE(Q194:Q196,1)&gt;=$A$14,LARGE(Q194:Q196,1)&lt;=$B$14),700,IF(AND(LARGE(Q194:Q196,1)&gt;=$A$15,LARGE(Q194:Q196,1)&lt;=$B$15),800,IF(AND(LARGE(Q194:Q196,1)&gt;=$A$16,LARGE(Q194:Q196,1)&lt;=$B$16),900,IF(AND(LARGE(Q194:Q196,1)&gt;=$A$17,LARGE(Q194:Q196,1)&lt;=$B$17),1000,IF(AND(LARGE(Q194:Q196,1)&gt;=$A$18,LARGE(Q194:Q196,1)&lt;=$B$18),1100,IF(AND(LARGE(Q194:Q196,1)&gt;=$A$19,LARGE(Q194:Q196,1)&lt;=$B$19),1200)))))))))</f>
        <v>#NUM!</v>
      </c>
      <c r="D195" s="141">
        <f t="shared" si="111"/>
        <v>0</v>
      </c>
      <c r="E195" s="141" t="str">
        <f>IFERROR(DGET($BV$30:$CC$82,F195,G194:G195),"")</f>
        <v/>
      </c>
      <c r="F195" s="142">
        <f t="shared" si="135"/>
        <v>0</v>
      </c>
      <c r="G195" s="142" t="b">
        <f>IF(Q195&gt;0,IF(AND(S195&gt;0,S195&lt;2),CONCATENATE(Q195," ","0-2"),IF(AND(S195&gt;=2,S195&lt;8),CONCATENATE(Q195," ","2-8"),)))</f>
        <v>0</v>
      </c>
      <c r="H195" s="80">
        <f t="shared" si="112"/>
        <v>0</v>
      </c>
      <c r="I195" s="80" t="str">
        <f t="shared" si="136"/>
        <v/>
      </c>
      <c r="J195" s="76"/>
      <c r="K195" s="76"/>
      <c r="L195" s="76"/>
      <c r="M195" s="80"/>
      <c r="N195" s="79"/>
      <c r="O195" s="148"/>
      <c r="P195" s="77">
        <f t="shared" si="137"/>
        <v>0</v>
      </c>
      <c r="Q195" s="81"/>
      <c r="R195" s="77"/>
      <c r="S195" s="146">
        <f t="shared" ref="S195:S258" si="153">IF(AND(L195="água"),((R194+R196)/2)+((H195/1000))+BJ195+VLOOKUP(Q195,$CH$31:$CI$52,2,0)+VLOOKUP(Q195,$CF$31:$CG$52,2,0),IF(Q195&gt;0,((R194+R196)/2)+((H195/1000))+BJ195,0))</f>
        <v>0</v>
      </c>
      <c r="T195" s="141" t="b">
        <f t="shared" si="151"/>
        <v>0</v>
      </c>
      <c r="U195" s="649">
        <f t="shared" si="113"/>
        <v>0</v>
      </c>
      <c r="V195" s="650"/>
      <c r="W195" s="649">
        <f t="shared" si="114"/>
        <v>0</v>
      </c>
      <c r="X195" s="650"/>
      <c r="Y195" s="649">
        <f t="shared" si="115"/>
        <v>0</v>
      </c>
      <c r="Z195" s="650"/>
      <c r="AA195" s="649">
        <f t="shared" si="116"/>
        <v>0</v>
      </c>
      <c r="AB195" s="650"/>
      <c r="AC195" s="649">
        <f t="shared" si="117"/>
        <v>0</v>
      </c>
      <c r="AD195" s="650"/>
      <c r="AE195" s="649">
        <f t="shared" si="118"/>
        <v>0</v>
      </c>
      <c r="AF195" s="650"/>
      <c r="AG195" s="649">
        <f t="shared" si="119"/>
        <v>0</v>
      </c>
      <c r="AH195" s="650"/>
      <c r="AI195" s="649">
        <f t="shared" si="120"/>
        <v>0</v>
      </c>
      <c r="AJ195" s="650"/>
      <c r="AK195" s="649">
        <f t="shared" si="121"/>
        <v>0</v>
      </c>
      <c r="AL195" s="650"/>
      <c r="AM195" s="649">
        <f t="shared" si="122"/>
        <v>0</v>
      </c>
      <c r="AN195" s="650"/>
      <c r="AO195" s="649">
        <f t="shared" si="123"/>
        <v>0</v>
      </c>
      <c r="AP195" s="650"/>
      <c r="AQ195" s="649">
        <f t="shared" si="124"/>
        <v>0</v>
      </c>
      <c r="AR195" s="650"/>
      <c r="AS195" s="651">
        <f t="shared" si="125"/>
        <v>0</v>
      </c>
      <c r="AT195" s="652"/>
      <c r="AU195" s="141">
        <f t="shared" si="138"/>
        <v>0</v>
      </c>
      <c r="AV195" s="141">
        <f t="shared" si="139"/>
        <v>0</v>
      </c>
      <c r="AW195" s="141">
        <f t="shared" si="140"/>
        <v>0</v>
      </c>
      <c r="AX195" s="141">
        <f t="shared" si="141"/>
        <v>0</v>
      </c>
      <c r="AY195" s="141">
        <f t="shared" si="142"/>
        <v>0</v>
      </c>
      <c r="AZ195" s="141">
        <f t="shared" si="143"/>
        <v>0</v>
      </c>
      <c r="BA195" s="141">
        <f t="shared" si="144"/>
        <v>0</v>
      </c>
      <c r="BB195" s="141">
        <f t="shared" si="145"/>
        <v>0</v>
      </c>
      <c r="BC195" s="141">
        <f t="shared" si="146"/>
        <v>0</v>
      </c>
      <c r="BD195" s="141">
        <f t="shared" si="147"/>
        <v>0</v>
      </c>
      <c r="BE195" s="141">
        <f t="shared" si="148"/>
        <v>0</v>
      </c>
      <c r="BF195" s="141">
        <f t="shared" si="149"/>
        <v>0</v>
      </c>
      <c r="BG195" s="141">
        <f t="shared" si="126"/>
        <v>0</v>
      </c>
      <c r="BH195" s="141">
        <f t="shared" si="127"/>
        <v>0</v>
      </c>
      <c r="BI195" s="141">
        <f t="shared" si="150"/>
        <v>0</v>
      </c>
      <c r="BJ195" s="147">
        <f t="shared" si="128"/>
        <v>0</v>
      </c>
      <c r="BK195" s="141">
        <f t="shared" si="129"/>
        <v>0</v>
      </c>
      <c r="BL195" s="141">
        <f t="shared" si="130"/>
        <v>0</v>
      </c>
      <c r="BM195" s="141">
        <f t="shared" si="131"/>
        <v>0</v>
      </c>
      <c r="BN195" s="141">
        <f t="shared" si="132"/>
        <v>0</v>
      </c>
      <c r="BO195" s="141">
        <f t="shared" si="133"/>
        <v>0</v>
      </c>
      <c r="BP195" s="141">
        <f t="shared" si="134"/>
        <v>0</v>
      </c>
      <c r="BT195" s="177"/>
      <c r="BU195" s="173"/>
      <c r="BV195" s="174"/>
      <c r="BW195" s="117"/>
      <c r="BX195" s="180"/>
      <c r="BY195" s="117"/>
      <c r="BZ195" s="181"/>
      <c r="CA195" s="182"/>
      <c r="CB195" s="176"/>
      <c r="CC195" s="176"/>
      <c r="CF195" s="170"/>
      <c r="CG195" s="171"/>
      <c r="CH195" s="170"/>
      <c r="CI195" s="171"/>
    </row>
    <row r="196" spans="2:87" s="108" customFormat="1" ht="15" hidden="1" customHeight="1">
      <c r="B196" s="109"/>
      <c r="C196" s="141" t="e">
        <f t="shared" si="152"/>
        <v>#NUM!</v>
      </c>
      <c r="D196" s="141">
        <f t="shared" si="111"/>
        <v>0</v>
      </c>
      <c r="E196" s="141"/>
      <c r="F196" s="142">
        <f t="shared" si="135"/>
        <v>0</v>
      </c>
      <c r="G196" s="143" t="s">
        <v>146</v>
      </c>
      <c r="H196" s="80">
        <f t="shared" si="112"/>
        <v>0</v>
      </c>
      <c r="I196" s="80" t="str">
        <f t="shared" si="136"/>
        <v/>
      </c>
      <c r="J196" s="144"/>
      <c r="K196" s="144"/>
      <c r="L196" s="144"/>
      <c r="M196" s="76"/>
      <c r="N196" s="77"/>
      <c r="O196" s="145"/>
      <c r="P196" s="77">
        <f t="shared" si="137"/>
        <v>0</v>
      </c>
      <c r="Q196" s="78"/>
      <c r="R196" s="79"/>
      <c r="S196" s="146">
        <f t="shared" si="153"/>
        <v>0</v>
      </c>
      <c r="T196" s="141" t="b">
        <f t="shared" si="151"/>
        <v>0</v>
      </c>
      <c r="U196" s="649">
        <f t="shared" si="113"/>
        <v>0</v>
      </c>
      <c r="V196" s="650"/>
      <c r="W196" s="649">
        <f t="shared" si="114"/>
        <v>0</v>
      </c>
      <c r="X196" s="650"/>
      <c r="Y196" s="649">
        <f t="shared" si="115"/>
        <v>0</v>
      </c>
      <c r="Z196" s="650"/>
      <c r="AA196" s="649">
        <f t="shared" si="116"/>
        <v>0</v>
      </c>
      <c r="AB196" s="650"/>
      <c r="AC196" s="649">
        <f t="shared" si="117"/>
        <v>0</v>
      </c>
      <c r="AD196" s="650"/>
      <c r="AE196" s="649">
        <f t="shared" si="118"/>
        <v>0</v>
      </c>
      <c r="AF196" s="650"/>
      <c r="AG196" s="649">
        <f t="shared" si="119"/>
        <v>0</v>
      </c>
      <c r="AH196" s="650"/>
      <c r="AI196" s="649">
        <f t="shared" si="120"/>
        <v>0</v>
      </c>
      <c r="AJ196" s="650"/>
      <c r="AK196" s="649">
        <f t="shared" si="121"/>
        <v>0</v>
      </c>
      <c r="AL196" s="650"/>
      <c r="AM196" s="649">
        <f t="shared" si="122"/>
        <v>0</v>
      </c>
      <c r="AN196" s="650"/>
      <c r="AO196" s="649">
        <f t="shared" si="123"/>
        <v>0</v>
      </c>
      <c r="AP196" s="650"/>
      <c r="AQ196" s="649">
        <f t="shared" si="124"/>
        <v>0</v>
      </c>
      <c r="AR196" s="650"/>
      <c r="AS196" s="651">
        <f t="shared" si="125"/>
        <v>0</v>
      </c>
      <c r="AT196" s="652"/>
      <c r="AU196" s="141">
        <f t="shared" si="138"/>
        <v>0</v>
      </c>
      <c r="AV196" s="141">
        <f t="shared" si="139"/>
        <v>0</v>
      </c>
      <c r="AW196" s="141">
        <f t="shared" si="140"/>
        <v>0</v>
      </c>
      <c r="AX196" s="141">
        <f t="shared" si="141"/>
        <v>0</v>
      </c>
      <c r="AY196" s="141">
        <f t="shared" si="142"/>
        <v>0</v>
      </c>
      <c r="AZ196" s="141">
        <f t="shared" si="143"/>
        <v>0</v>
      </c>
      <c r="BA196" s="141">
        <f t="shared" si="144"/>
        <v>0</v>
      </c>
      <c r="BB196" s="141">
        <f t="shared" si="145"/>
        <v>0</v>
      </c>
      <c r="BC196" s="141">
        <f t="shared" si="146"/>
        <v>0</v>
      </c>
      <c r="BD196" s="141">
        <f t="shared" si="147"/>
        <v>0</v>
      </c>
      <c r="BE196" s="141">
        <f t="shared" si="148"/>
        <v>0</v>
      </c>
      <c r="BF196" s="141">
        <f t="shared" si="149"/>
        <v>0</v>
      </c>
      <c r="BG196" s="141">
        <f t="shared" si="126"/>
        <v>0</v>
      </c>
      <c r="BH196" s="141">
        <f t="shared" si="127"/>
        <v>0</v>
      </c>
      <c r="BI196" s="141">
        <f t="shared" si="150"/>
        <v>0</v>
      </c>
      <c r="BJ196" s="147">
        <f t="shared" si="128"/>
        <v>0</v>
      </c>
      <c r="BK196" s="141">
        <f t="shared" si="129"/>
        <v>0</v>
      </c>
      <c r="BL196" s="141">
        <f t="shared" si="130"/>
        <v>0</v>
      </c>
      <c r="BM196" s="141">
        <f t="shared" si="131"/>
        <v>0</v>
      </c>
      <c r="BN196" s="141">
        <f t="shared" si="132"/>
        <v>0</v>
      </c>
      <c r="BO196" s="141">
        <f t="shared" si="133"/>
        <v>0</v>
      </c>
      <c r="BP196" s="141">
        <f t="shared" si="134"/>
        <v>0</v>
      </c>
      <c r="BT196" s="177"/>
      <c r="BU196" s="173"/>
      <c r="BV196" s="174"/>
      <c r="BW196" s="117"/>
      <c r="BX196" s="180"/>
      <c r="BY196" s="117"/>
      <c r="BZ196" s="181"/>
      <c r="CA196" s="182"/>
      <c r="CB196" s="176"/>
      <c r="CC196" s="176"/>
      <c r="CF196" s="170"/>
      <c r="CG196" s="171"/>
      <c r="CH196" s="170"/>
      <c r="CI196" s="171"/>
    </row>
    <row r="197" spans="2:87" s="108" customFormat="1" ht="15" hidden="1" customHeight="1">
      <c r="B197" s="109"/>
      <c r="C197" s="141" t="e">
        <f t="shared" si="152"/>
        <v>#NUM!</v>
      </c>
      <c r="D197" s="141">
        <f t="shared" si="111"/>
        <v>0</v>
      </c>
      <c r="E197" s="141" t="str">
        <f>IFERROR(DGET($BV$30:$CC$82,F197,G196:G197),"")</f>
        <v/>
      </c>
      <c r="F197" s="142">
        <f t="shared" si="135"/>
        <v>0</v>
      </c>
      <c r="G197" s="142" t="b">
        <f>IF(Q197&gt;0,IF(AND(S197&gt;0,S197&lt;2),CONCATENATE(Q197," ","0-2"),IF(AND(S197&gt;=2,S197&lt;8),CONCATENATE(Q197," ","2-8"),)))</f>
        <v>0</v>
      </c>
      <c r="H197" s="80">
        <f t="shared" si="112"/>
        <v>0</v>
      </c>
      <c r="I197" s="80" t="str">
        <f t="shared" si="136"/>
        <v/>
      </c>
      <c r="J197" s="76"/>
      <c r="K197" s="76"/>
      <c r="L197" s="76"/>
      <c r="M197" s="80"/>
      <c r="N197" s="79"/>
      <c r="O197" s="148"/>
      <c r="P197" s="77">
        <f t="shared" si="137"/>
        <v>0</v>
      </c>
      <c r="Q197" s="81"/>
      <c r="R197" s="77"/>
      <c r="S197" s="146">
        <f t="shared" si="153"/>
        <v>0</v>
      </c>
      <c r="T197" s="141" t="b">
        <f t="shared" si="151"/>
        <v>0</v>
      </c>
      <c r="U197" s="649">
        <f t="shared" si="113"/>
        <v>0</v>
      </c>
      <c r="V197" s="650"/>
      <c r="W197" s="649">
        <f t="shared" si="114"/>
        <v>0</v>
      </c>
      <c r="X197" s="650"/>
      <c r="Y197" s="649">
        <f t="shared" si="115"/>
        <v>0</v>
      </c>
      <c r="Z197" s="650"/>
      <c r="AA197" s="649">
        <f t="shared" si="116"/>
        <v>0</v>
      </c>
      <c r="AB197" s="650"/>
      <c r="AC197" s="649">
        <f t="shared" si="117"/>
        <v>0</v>
      </c>
      <c r="AD197" s="650"/>
      <c r="AE197" s="649">
        <f t="shared" si="118"/>
        <v>0</v>
      </c>
      <c r="AF197" s="650"/>
      <c r="AG197" s="649">
        <f t="shared" si="119"/>
        <v>0</v>
      </c>
      <c r="AH197" s="650"/>
      <c r="AI197" s="649">
        <f t="shared" si="120"/>
        <v>0</v>
      </c>
      <c r="AJ197" s="650"/>
      <c r="AK197" s="649">
        <f t="shared" si="121"/>
        <v>0</v>
      </c>
      <c r="AL197" s="650"/>
      <c r="AM197" s="649">
        <f t="shared" si="122"/>
        <v>0</v>
      </c>
      <c r="AN197" s="650"/>
      <c r="AO197" s="649">
        <f t="shared" si="123"/>
        <v>0</v>
      </c>
      <c r="AP197" s="650"/>
      <c r="AQ197" s="649">
        <f t="shared" si="124"/>
        <v>0</v>
      </c>
      <c r="AR197" s="650"/>
      <c r="AS197" s="651">
        <f t="shared" si="125"/>
        <v>0</v>
      </c>
      <c r="AT197" s="652"/>
      <c r="AU197" s="141">
        <f t="shared" si="138"/>
        <v>0</v>
      </c>
      <c r="AV197" s="141">
        <f t="shared" si="139"/>
        <v>0</v>
      </c>
      <c r="AW197" s="141">
        <f t="shared" si="140"/>
        <v>0</v>
      </c>
      <c r="AX197" s="141">
        <f t="shared" si="141"/>
        <v>0</v>
      </c>
      <c r="AY197" s="141">
        <f t="shared" si="142"/>
        <v>0</v>
      </c>
      <c r="AZ197" s="141">
        <f t="shared" si="143"/>
        <v>0</v>
      </c>
      <c r="BA197" s="141">
        <f t="shared" si="144"/>
        <v>0</v>
      </c>
      <c r="BB197" s="141">
        <f t="shared" si="145"/>
        <v>0</v>
      </c>
      <c r="BC197" s="141">
        <f t="shared" si="146"/>
        <v>0</v>
      </c>
      <c r="BD197" s="141">
        <f t="shared" si="147"/>
        <v>0</v>
      </c>
      <c r="BE197" s="141">
        <f t="shared" si="148"/>
        <v>0</v>
      </c>
      <c r="BF197" s="141">
        <f t="shared" si="149"/>
        <v>0</v>
      </c>
      <c r="BG197" s="141">
        <f t="shared" si="126"/>
        <v>0</v>
      </c>
      <c r="BH197" s="141">
        <f t="shared" si="127"/>
        <v>0</v>
      </c>
      <c r="BI197" s="141">
        <f t="shared" si="150"/>
        <v>0</v>
      </c>
      <c r="BJ197" s="147">
        <f t="shared" si="128"/>
        <v>0</v>
      </c>
      <c r="BK197" s="141">
        <f t="shared" si="129"/>
        <v>0</v>
      </c>
      <c r="BL197" s="141">
        <f t="shared" si="130"/>
        <v>0</v>
      </c>
      <c r="BM197" s="141">
        <f t="shared" si="131"/>
        <v>0</v>
      </c>
      <c r="BN197" s="141">
        <f t="shared" si="132"/>
        <v>0</v>
      </c>
      <c r="BO197" s="141">
        <f t="shared" si="133"/>
        <v>0</v>
      </c>
      <c r="BP197" s="141">
        <f t="shared" si="134"/>
        <v>0</v>
      </c>
      <c r="BT197" s="177"/>
      <c r="BU197" s="173"/>
      <c r="BV197" s="174"/>
      <c r="BW197" s="117"/>
      <c r="BX197" s="180"/>
      <c r="BY197" s="117"/>
      <c r="BZ197" s="181"/>
      <c r="CA197" s="182"/>
      <c r="CB197" s="176"/>
      <c r="CC197" s="176"/>
      <c r="CF197" s="170"/>
      <c r="CG197" s="171"/>
      <c r="CH197" s="170"/>
      <c r="CI197" s="171"/>
    </row>
    <row r="198" spans="2:87" s="108" customFormat="1" ht="15" hidden="1" customHeight="1">
      <c r="B198" s="109"/>
      <c r="C198" s="141" t="e">
        <f t="shared" si="152"/>
        <v>#NUM!</v>
      </c>
      <c r="D198" s="141">
        <f t="shared" si="111"/>
        <v>0</v>
      </c>
      <c r="E198" s="141"/>
      <c r="F198" s="142">
        <f t="shared" si="135"/>
        <v>0</v>
      </c>
      <c r="G198" s="143" t="s">
        <v>146</v>
      </c>
      <c r="H198" s="80">
        <f t="shared" si="112"/>
        <v>0</v>
      </c>
      <c r="I198" s="80" t="str">
        <f t="shared" si="136"/>
        <v/>
      </c>
      <c r="J198" s="144"/>
      <c r="K198" s="144"/>
      <c r="L198" s="144"/>
      <c r="M198" s="76"/>
      <c r="N198" s="77"/>
      <c r="O198" s="145"/>
      <c r="P198" s="77">
        <f t="shared" si="137"/>
        <v>0</v>
      </c>
      <c r="Q198" s="78"/>
      <c r="R198" s="79"/>
      <c r="S198" s="146">
        <f t="shared" si="153"/>
        <v>0</v>
      </c>
      <c r="T198" s="141" t="b">
        <f t="shared" si="151"/>
        <v>0</v>
      </c>
      <c r="U198" s="649">
        <f t="shared" si="113"/>
        <v>0</v>
      </c>
      <c r="V198" s="650"/>
      <c r="W198" s="649">
        <f t="shared" si="114"/>
        <v>0</v>
      </c>
      <c r="X198" s="650"/>
      <c r="Y198" s="649">
        <f t="shared" si="115"/>
        <v>0</v>
      </c>
      <c r="Z198" s="650"/>
      <c r="AA198" s="649">
        <f t="shared" si="116"/>
        <v>0</v>
      </c>
      <c r="AB198" s="650"/>
      <c r="AC198" s="649">
        <f t="shared" si="117"/>
        <v>0</v>
      </c>
      <c r="AD198" s="650"/>
      <c r="AE198" s="649">
        <f t="shared" si="118"/>
        <v>0</v>
      </c>
      <c r="AF198" s="650"/>
      <c r="AG198" s="649">
        <f t="shared" si="119"/>
        <v>0</v>
      </c>
      <c r="AH198" s="650"/>
      <c r="AI198" s="649">
        <f t="shared" si="120"/>
        <v>0</v>
      </c>
      <c r="AJ198" s="650"/>
      <c r="AK198" s="649">
        <f t="shared" si="121"/>
        <v>0</v>
      </c>
      <c r="AL198" s="650"/>
      <c r="AM198" s="649">
        <f t="shared" si="122"/>
        <v>0</v>
      </c>
      <c r="AN198" s="650"/>
      <c r="AO198" s="649">
        <f t="shared" si="123"/>
        <v>0</v>
      </c>
      <c r="AP198" s="650"/>
      <c r="AQ198" s="649">
        <f t="shared" si="124"/>
        <v>0</v>
      </c>
      <c r="AR198" s="650"/>
      <c r="AS198" s="651">
        <f t="shared" si="125"/>
        <v>0</v>
      </c>
      <c r="AT198" s="652"/>
      <c r="AU198" s="141">
        <f t="shared" si="138"/>
        <v>0</v>
      </c>
      <c r="AV198" s="141">
        <f t="shared" si="139"/>
        <v>0</v>
      </c>
      <c r="AW198" s="141">
        <f t="shared" si="140"/>
        <v>0</v>
      </c>
      <c r="AX198" s="141">
        <f t="shared" si="141"/>
        <v>0</v>
      </c>
      <c r="AY198" s="141">
        <f t="shared" si="142"/>
        <v>0</v>
      </c>
      <c r="AZ198" s="141">
        <f t="shared" si="143"/>
        <v>0</v>
      </c>
      <c r="BA198" s="141">
        <f t="shared" si="144"/>
        <v>0</v>
      </c>
      <c r="BB198" s="141">
        <f t="shared" si="145"/>
        <v>0</v>
      </c>
      <c r="BC198" s="141">
        <f t="shared" si="146"/>
        <v>0</v>
      </c>
      <c r="BD198" s="141">
        <f t="shared" si="147"/>
        <v>0</v>
      </c>
      <c r="BE198" s="141">
        <f t="shared" si="148"/>
        <v>0</v>
      </c>
      <c r="BF198" s="141">
        <f t="shared" si="149"/>
        <v>0</v>
      </c>
      <c r="BG198" s="141">
        <f t="shared" si="126"/>
        <v>0</v>
      </c>
      <c r="BH198" s="141">
        <f t="shared" si="127"/>
        <v>0</v>
      </c>
      <c r="BI198" s="141">
        <f t="shared" si="150"/>
        <v>0</v>
      </c>
      <c r="BJ198" s="147">
        <f t="shared" si="128"/>
        <v>0</v>
      </c>
      <c r="BK198" s="141">
        <f t="shared" si="129"/>
        <v>0</v>
      </c>
      <c r="BL198" s="141">
        <f t="shared" si="130"/>
        <v>0</v>
      </c>
      <c r="BM198" s="141">
        <f t="shared" si="131"/>
        <v>0</v>
      </c>
      <c r="BN198" s="141">
        <f t="shared" si="132"/>
        <v>0</v>
      </c>
      <c r="BO198" s="141">
        <f t="shared" si="133"/>
        <v>0</v>
      </c>
      <c r="BP198" s="141">
        <f t="shared" si="134"/>
        <v>0</v>
      </c>
      <c r="BT198" s="177"/>
      <c r="BU198" s="173"/>
      <c r="BV198" s="174"/>
      <c r="BW198" s="117"/>
      <c r="BX198" s="180"/>
      <c r="BY198" s="117"/>
      <c r="BZ198" s="181"/>
      <c r="CA198" s="182"/>
      <c r="CB198" s="176"/>
      <c r="CC198" s="176"/>
      <c r="CF198" s="170"/>
      <c r="CG198" s="171"/>
      <c r="CH198" s="170"/>
      <c r="CI198" s="171"/>
    </row>
    <row r="199" spans="2:87" s="108" customFormat="1" ht="15" hidden="1" customHeight="1">
      <c r="B199" s="109"/>
      <c r="C199" s="141" t="e">
        <f t="shared" si="152"/>
        <v>#NUM!</v>
      </c>
      <c r="D199" s="141">
        <f t="shared" si="111"/>
        <v>0</v>
      </c>
      <c r="E199" s="141" t="str">
        <f>IFERROR(DGET($BV$30:$CC$82,F199,G198:G199),"")</f>
        <v/>
      </c>
      <c r="F199" s="142">
        <f t="shared" si="135"/>
        <v>0</v>
      </c>
      <c r="G199" s="142" t="b">
        <f>IF(Q199&gt;0,IF(AND(S199&gt;0,S199&lt;2),CONCATENATE(Q199," ","0-2"),IF(AND(S199&gt;=2,S199&lt;8),CONCATENATE(Q199," ","2-8"),)))</f>
        <v>0</v>
      </c>
      <c r="H199" s="80">
        <f t="shared" si="112"/>
        <v>0</v>
      </c>
      <c r="I199" s="80" t="str">
        <f t="shared" si="136"/>
        <v/>
      </c>
      <c r="J199" s="76"/>
      <c r="K199" s="76"/>
      <c r="L199" s="76"/>
      <c r="M199" s="80"/>
      <c r="N199" s="79"/>
      <c r="O199" s="148"/>
      <c r="P199" s="77">
        <f t="shared" si="137"/>
        <v>0</v>
      </c>
      <c r="Q199" s="81"/>
      <c r="R199" s="77"/>
      <c r="S199" s="146">
        <f t="shared" si="153"/>
        <v>0</v>
      </c>
      <c r="T199" s="141" t="b">
        <f t="shared" si="151"/>
        <v>0</v>
      </c>
      <c r="U199" s="649">
        <f t="shared" si="113"/>
        <v>0</v>
      </c>
      <c r="V199" s="650"/>
      <c r="W199" s="649">
        <f t="shared" si="114"/>
        <v>0</v>
      </c>
      <c r="X199" s="650"/>
      <c r="Y199" s="649">
        <f t="shared" si="115"/>
        <v>0</v>
      </c>
      <c r="Z199" s="650"/>
      <c r="AA199" s="649">
        <f t="shared" si="116"/>
        <v>0</v>
      </c>
      <c r="AB199" s="650"/>
      <c r="AC199" s="649">
        <f t="shared" si="117"/>
        <v>0</v>
      </c>
      <c r="AD199" s="650"/>
      <c r="AE199" s="649">
        <f t="shared" si="118"/>
        <v>0</v>
      </c>
      <c r="AF199" s="650"/>
      <c r="AG199" s="649">
        <f t="shared" si="119"/>
        <v>0</v>
      </c>
      <c r="AH199" s="650"/>
      <c r="AI199" s="649">
        <f t="shared" si="120"/>
        <v>0</v>
      </c>
      <c r="AJ199" s="650"/>
      <c r="AK199" s="649">
        <f t="shared" si="121"/>
        <v>0</v>
      </c>
      <c r="AL199" s="650"/>
      <c r="AM199" s="649">
        <f t="shared" si="122"/>
        <v>0</v>
      </c>
      <c r="AN199" s="650"/>
      <c r="AO199" s="649">
        <f t="shared" si="123"/>
        <v>0</v>
      </c>
      <c r="AP199" s="650"/>
      <c r="AQ199" s="649">
        <f t="shared" si="124"/>
        <v>0</v>
      </c>
      <c r="AR199" s="650"/>
      <c r="AS199" s="651">
        <f t="shared" si="125"/>
        <v>0</v>
      </c>
      <c r="AT199" s="652"/>
      <c r="AU199" s="141">
        <f t="shared" si="138"/>
        <v>0</v>
      </c>
      <c r="AV199" s="141">
        <f t="shared" si="139"/>
        <v>0</v>
      </c>
      <c r="AW199" s="141">
        <f t="shared" si="140"/>
        <v>0</v>
      </c>
      <c r="AX199" s="141">
        <f t="shared" si="141"/>
        <v>0</v>
      </c>
      <c r="AY199" s="141">
        <f t="shared" si="142"/>
        <v>0</v>
      </c>
      <c r="AZ199" s="141">
        <f t="shared" si="143"/>
        <v>0</v>
      </c>
      <c r="BA199" s="141">
        <f t="shared" si="144"/>
        <v>0</v>
      </c>
      <c r="BB199" s="141">
        <f t="shared" si="145"/>
        <v>0</v>
      </c>
      <c r="BC199" s="141">
        <f t="shared" si="146"/>
        <v>0</v>
      </c>
      <c r="BD199" s="141">
        <f t="shared" si="147"/>
        <v>0</v>
      </c>
      <c r="BE199" s="141">
        <f t="shared" si="148"/>
        <v>0</v>
      </c>
      <c r="BF199" s="141">
        <f t="shared" si="149"/>
        <v>0</v>
      </c>
      <c r="BG199" s="141">
        <f t="shared" si="126"/>
        <v>0</v>
      </c>
      <c r="BH199" s="141">
        <f t="shared" si="127"/>
        <v>0</v>
      </c>
      <c r="BI199" s="141">
        <f t="shared" si="150"/>
        <v>0</v>
      </c>
      <c r="BJ199" s="147">
        <f t="shared" si="128"/>
        <v>0</v>
      </c>
      <c r="BK199" s="141">
        <f t="shared" si="129"/>
        <v>0</v>
      </c>
      <c r="BL199" s="141">
        <f t="shared" si="130"/>
        <v>0</v>
      </c>
      <c r="BM199" s="141">
        <f t="shared" si="131"/>
        <v>0</v>
      </c>
      <c r="BN199" s="141">
        <f t="shared" si="132"/>
        <v>0</v>
      </c>
      <c r="BO199" s="141">
        <f t="shared" si="133"/>
        <v>0</v>
      </c>
      <c r="BP199" s="141">
        <f t="shared" si="134"/>
        <v>0</v>
      </c>
      <c r="BT199" s="177"/>
      <c r="BU199" s="173"/>
      <c r="BV199" s="174"/>
      <c r="BW199" s="117"/>
      <c r="BX199" s="180"/>
      <c r="BY199" s="117"/>
      <c r="BZ199" s="181"/>
      <c r="CA199" s="182"/>
      <c r="CB199" s="176"/>
      <c r="CC199" s="176"/>
      <c r="CF199" s="170"/>
      <c r="CG199" s="171"/>
      <c r="CH199" s="170"/>
      <c r="CI199" s="171"/>
    </row>
    <row r="200" spans="2:87" s="108" customFormat="1" ht="15" hidden="1" customHeight="1">
      <c r="B200" s="109"/>
      <c r="C200" s="141" t="e">
        <f t="shared" si="152"/>
        <v>#NUM!</v>
      </c>
      <c r="D200" s="141">
        <f t="shared" si="111"/>
        <v>0</v>
      </c>
      <c r="E200" s="141"/>
      <c r="F200" s="142">
        <f t="shared" si="135"/>
        <v>0</v>
      </c>
      <c r="G200" s="143" t="s">
        <v>146</v>
      </c>
      <c r="H200" s="80">
        <f t="shared" si="112"/>
        <v>0</v>
      </c>
      <c r="I200" s="80" t="str">
        <f t="shared" si="136"/>
        <v/>
      </c>
      <c r="J200" s="144"/>
      <c r="K200" s="144"/>
      <c r="L200" s="144"/>
      <c r="M200" s="76"/>
      <c r="N200" s="77"/>
      <c r="O200" s="145"/>
      <c r="P200" s="77">
        <f t="shared" si="137"/>
        <v>0</v>
      </c>
      <c r="Q200" s="78"/>
      <c r="R200" s="79"/>
      <c r="S200" s="146">
        <f t="shared" si="153"/>
        <v>0</v>
      </c>
      <c r="T200" s="141" t="b">
        <f t="shared" si="151"/>
        <v>0</v>
      </c>
      <c r="U200" s="649">
        <f t="shared" si="113"/>
        <v>0</v>
      </c>
      <c r="V200" s="650"/>
      <c r="W200" s="649">
        <f t="shared" si="114"/>
        <v>0</v>
      </c>
      <c r="X200" s="650"/>
      <c r="Y200" s="649">
        <f t="shared" si="115"/>
        <v>0</v>
      </c>
      <c r="Z200" s="650"/>
      <c r="AA200" s="649">
        <f t="shared" si="116"/>
        <v>0</v>
      </c>
      <c r="AB200" s="650"/>
      <c r="AC200" s="649">
        <f t="shared" si="117"/>
        <v>0</v>
      </c>
      <c r="AD200" s="650"/>
      <c r="AE200" s="649">
        <f t="shared" si="118"/>
        <v>0</v>
      </c>
      <c r="AF200" s="650"/>
      <c r="AG200" s="649">
        <f t="shared" si="119"/>
        <v>0</v>
      </c>
      <c r="AH200" s="650"/>
      <c r="AI200" s="649">
        <f t="shared" si="120"/>
        <v>0</v>
      </c>
      <c r="AJ200" s="650"/>
      <c r="AK200" s="649">
        <f t="shared" si="121"/>
        <v>0</v>
      </c>
      <c r="AL200" s="650"/>
      <c r="AM200" s="649">
        <f t="shared" si="122"/>
        <v>0</v>
      </c>
      <c r="AN200" s="650"/>
      <c r="AO200" s="649">
        <f t="shared" si="123"/>
        <v>0</v>
      </c>
      <c r="AP200" s="650"/>
      <c r="AQ200" s="649">
        <f t="shared" si="124"/>
        <v>0</v>
      </c>
      <c r="AR200" s="650"/>
      <c r="AS200" s="651">
        <f t="shared" si="125"/>
        <v>0</v>
      </c>
      <c r="AT200" s="652"/>
      <c r="AU200" s="141">
        <f t="shared" si="138"/>
        <v>0</v>
      </c>
      <c r="AV200" s="141">
        <f t="shared" si="139"/>
        <v>0</v>
      </c>
      <c r="AW200" s="141">
        <f t="shared" si="140"/>
        <v>0</v>
      </c>
      <c r="AX200" s="141">
        <f t="shared" si="141"/>
        <v>0</v>
      </c>
      <c r="AY200" s="141">
        <f t="shared" si="142"/>
        <v>0</v>
      </c>
      <c r="AZ200" s="141">
        <f t="shared" si="143"/>
        <v>0</v>
      </c>
      <c r="BA200" s="141">
        <f t="shared" si="144"/>
        <v>0</v>
      </c>
      <c r="BB200" s="141">
        <f t="shared" si="145"/>
        <v>0</v>
      </c>
      <c r="BC200" s="141">
        <f t="shared" si="146"/>
        <v>0</v>
      </c>
      <c r="BD200" s="141">
        <f t="shared" si="147"/>
        <v>0</v>
      </c>
      <c r="BE200" s="141">
        <f t="shared" si="148"/>
        <v>0</v>
      </c>
      <c r="BF200" s="141">
        <f t="shared" si="149"/>
        <v>0</v>
      </c>
      <c r="BG200" s="141">
        <f t="shared" si="126"/>
        <v>0</v>
      </c>
      <c r="BH200" s="141">
        <f t="shared" si="127"/>
        <v>0</v>
      </c>
      <c r="BI200" s="141">
        <f t="shared" si="150"/>
        <v>0</v>
      </c>
      <c r="BJ200" s="147">
        <f t="shared" si="128"/>
        <v>0</v>
      </c>
      <c r="BK200" s="141">
        <f t="shared" si="129"/>
        <v>0</v>
      </c>
      <c r="BL200" s="141">
        <f t="shared" si="130"/>
        <v>0</v>
      </c>
      <c r="BM200" s="141">
        <f t="shared" si="131"/>
        <v>0</v>
      </c>
      <c r="BN200" s="141">
        <f t="shared" si="132"/>
        <v>0</v>
      </c>
      <c r="BO200" s="141">
        <f t="shared" si="133"/>
        <v>0</v>
      </c>
      <c r="BP200" s="141">
        <f t="shared" si="134"/>
        <v>0</v>
      </c>
      <c r="BT200" s="177"/>
      <c r="BU200" s="173"/>
      <c r="BV200" s="174"/>
      <c r="BW200" s="117"/>
      <c r="BX200" s="180"/>
      <c r="BY200" s="117"/>
      <c r="BZ200" s="181"/>
      <c r="CA200" s="182"/>
      <c r="CB200" s="176"/>
      <c r="CC200" s="176"/>
      <c r="CF200" s="170"/>
      <c r="CG200" s="171"/>
      <c r="CH200" s="170"/>
      <c r="CI200" s="171"/>
    </row>
    <row r="201" spans="2:87" s="108" customFormat="1" ht="15" hidden="1" customHeight="1">
      <c r="B201" s="109"/>
      <c r="C201" s="141" t="e">
        <f t="shared" si="152"/>
        <v>#NUM!</v>
      </c>
      <c r="D201" s="141">
        <f t="shared" si="111"/>
        <v>0</v>
      </c>
      <c r="E201" s="141" t="str">
        <f>IFERROR(DGET($BV$30:$CC$82,F201,G200:G201),"")</f>
        <v/>
      </c>
      <c r="F201" s="142">
        <f t="shared" si="135"/>
        <v>0</v>
      </c>
      <c r="G201" s="142" t="b">
        <f>IF(Q201&gt;0,IF(AND(S201&gt;0,S201&lt;2),CONCATENATE(Q201," ","0-2"),IF(AND(S201&gt;=2,S201&lt;8),CONCATENATE(Q201," ","2-8"),)))</f>
        <v>0</v>
      </c>
      <c r="H201" s="80">
        <f t="shared" si="112"/>
        <v>0</v>
      </c>
      <c r="I201" s="80" t="str">
        <f t="shared" si="136"/>
        <v/>
      </c>
      <c r="J201" s="76"/>
      <c r="K201" s="76"/>
      <c r="L201" s="76"/>
      <c r="M201" s="80"/>
      <c r="N201" s="79"/>
      <c r="O201" s="148"/>
      <c r="P201" s="77">
        <f t="shared" si="137"/>
        <v>0</v>
      </c>
      <c r="Q201" s="81"/>
      <c r="R201" s="77"/>
      <c r="S201" s="146">
        <f t="shared" si="153"/>
        <v>0</v>
      </c>
      <c r="T201" s="141" t="b">
        <f t="shared" si="151"/>
        <v>0</v>
      </c>
      <c r="U201" s="649">
        <f t="shared" si="113"/>
        <v>0</v>
      </c>
      <c r="V201" s="650"/>
      <c r="W201" s="649">
        <f t="shared" si="114"/>
        <v>0</v>
      </c>
      <c r="X201" s="650"/>
      <c r="Y201" s="649">
        <f t="shared" si="115"/>
        <v>0</v>
      </c>
      <c r="Z201" s="650"/>
      <c r="AA201" s="649">
        <f t="shared" si="116"/>
        <v>0</v>
      </c>
      <c r="AB201" s="650"/>
      <c r="AC201" s="649">
        <f t="shared" si="117"/>
        <v>0</v>
      </c>
      <c r="AD201" s="650"/>
      <c r="AE201" s="649">
        <f t="shared" si="118"/>
        <v>0</v>
      </c>
      <c r="AF201" s="650"/>
      <c r="AG201" s="649">
        <f t="shared" si="119"/>
        <v>0</v>
      </c>
      <c r="AH201" s="650"/>
      <c r="AI201" s="649">
        <f t="shared" si="120"/>
        <v>0</v>
      </c>
      <c r="AJ201" s="650"/>
      <c r="AK201" s="649">
        <f t="shared" si="121"/>
        <v>0</v>
      </c>
      <c r="AL201" s="650"/>
      <c r="AM201" s="649">
        <f t="shared" si="122"/>
        <v>0</v>
      </c>
      <c r="AN201" s="650"/>
      <c r="AO201" s="649">
        <f t="shared" si="123"/>
        <v>0</v>
      </c>
      <c r="AP201" s="650"/>
      <c r="AQ201" s="649">
        <f t="shared" si="124"/>
        <v>0</v>
      </c>
      <c r="AR201" s="650"/>
      <c r="AS201" s="651">
        <f t="shared" si="125"/>
        <v>0</v>
      </c>
      <c r="AT201" s="652"/>
      <c r="AU201" s="141">
        <f t="shared" si="138"/>
        <v>0</v>
      </c>
      <c r="AV201" s="141">
        <f t="shared" si="139"/>
        <v>0</v>
      </c>
      <c r="AW201" s="141">
        <f t="shared" si="140"/>
        <v>0</v>
      </c>
      <c r="AX201" s="141">
        <f t="shared" si="141"/>
        <v>0</v>
      </c>
      <c r="AY201" s="141">
        <f t="shared" si="142"/>
        <v>0</v>
      </c>
      <c r="AZ201" s="141">
        <f t="shared" si="143"/>
        <v>0</v>
      </c>
      <c r="BA201" s="141">
        <f t="shared" si="144"/>
        <v>0</v>
      </c>
      <c r="BB201" s="141">
        <f t="shared" si="145"/>
        <v>0</v>
      </c>
      <c r="BC201" s="141">
        <f t="shared" si="146"/>
        <v>0</v>
      </c>
      <c r="BD201" s="141">
        <f t="shared" si="147"/>
        <v>0</v>
      </c>
      <c r="BE201" s="141">
        <f t="shared" si="148"/>
        <v>0</v>
      </c>
      <c r="BF201" s="141">
        <f t="shared" si="149"/>
        <v>0</v>
      </c>
      <c r="BG201" s="141">
        <f t="shared" si="126"/>
        <v>0</v>
      </c>
      <c r="BH201" s="141">
        <f t="shared" si="127"/>
        <v>0</v>
      </c>
      <c r="BI201" s="141">
        <f t="shared" si="150"/>
        <v>0</v>
      </c>
      <c r="BJ201" s="147">
        <f t="shared" si="128"/>
        <v>0</v>
      </c>
      <c r="BK201" s="141">
        <f t="shared" si="129"/>
        <v>0</v>
      </c>
      <c r="BL201" s="141">
        <f t="shared" si="130"/>
        <v>0</v>
      </c>
      <c r="BM201" s="141">
        <f t="shared" si="131"/>
        <v>0</v>
      </c>
      <c r="BN201" s="141">
        <f t="shared" si="132"/>
        <v>0</v>
      </c>
      <c r="BO201" s="141">
        <f t="shared" si="133"/>
        <v>0</v>
      </c>
      <c r="BP201" s="141">
        <f t="shared" si="134"/>
        <v>0</v>
      </c>
      <c r="BT201" s="177"/>
      <c r="BU201" s="173"/>
      <c r="BV201" s="174"/>
      <c r="BW201" s="117"/>
      <c r="BX201" s="180"/>
      <c r="BY201" s="117"/>
      <c r="BZ201" s="181"/>
      <c r="CA201" s="182"/>
      <c r="CB201" s="176"/>
      <c r="CC201" s="176"/>
      <c r="CF201" s="170"/>
      <c r="CG201" s="171"/>
      <c r="CH201" s="170"/>
      <c r="CI201" s="171"/>
    </row>
    <row r="202" spans="2:87" s="108" customFormat="1" ht="15" hidden="1" customHeight="1">
      <c r="B202" s="109"/>
      <c r="C202" s="141" t="e">
        <f t="shared" si="152"/>
        <v>#NUM!</v>
      </c>
      <c r="D202" s="141">
        <f t="shared" si="111"/>
        <v>0</v>
      </c>
      <c r="E202" s="141"/>
      <c r="F202" s="142">
        <f t="shared" si="135"/>
        <v>0</v>
      </c>
      <c r="G202" s="143" t="s">
        <v>146</v>
      </c>
      <c r="H202" s="80">
        <f t="shared" si="112"/>
        <v>0</v>
      </c>
      <c r="I202" s="80" t="str">
        <f t="shared" si="136"/>
        <v/>
      </c>
      <c r="J202" s="144"/>
      <c r="K202" s="144"/>
      <c r="L202" s="144"/>
      <c r="M202" s="76"/>
      <c r="N202" s="77"/>
      <c r="O202" s="145"/>
      <c r="P202" s="77">
        <f t="shared" si="137"/>
        <v>0</v>
      </c>
      <c r="Q202" s="78"/>
      <c r="R202" s="79"/>
      <c r="S202" s="146">
        <f t="shared" si="153"/>
        <v>0</v>
      </c>
      <c r="T202" s="141" t="b">
        <f t="shared" si="151"/>
        <v>0</v>
      </c>
      <c r="U202" s="649">
        <f t="shared" si="113"/>
        <v>0</v>
      </c>
      <c r="V202" s="650"/>
      <c r="W202" s="649">
        <f t="shared" si="114"/>
        <v>0</v>
      </c>
      <c r="X202" s="650"/>
      <c r="Y202" s="649">
        <f t="shared" si="115"/>
        <v>0</v>
      </c>
      <c r="Z202" s="650"/>
      <c r="AA202" s="649">
        <f t="shared" si="116"/>
        <v>0</v>
      </c>
      <c r="AB202" s="650"/>
      <c r="AC202" s="649">
        <f t="shared" si="117"/>
        <v>0</v>
      </c>
      <c r="AD202" s="650"/>
      <c r="AE202" s="649">
        <f t="shared" si="118"/>
        <v>0</v>
      </c>
      <c r="AF202" s="650"/>
      <c r="AG202" s="649">
        <f t="shared" si="119"/>
        <v>0</v>
      </c>
      <c r="AH202" s="650"/>
      <c r="AI202" s="649">
        <f t="shared" si="120"/>
        <v>0</v>
      </c>
      <c r="AJ202" s="650"/>
      <c r="AK202" s="649">
        <f t="shared" si="121"/>
        <v>0</v>
      </c>
      <c r="AL202" s="650"/>
      <c r="AM202" s="649">
        <f t="shared" si="122"/>
        <v>0</v>
      </c>
      <c r="AN202" s="650"/>
      <c r="AO202" s="649">
        <f t="shared" si="123"/>
        <v>0</v>
      </c>
      <c r="AP202" s="650"/>
      <c r="AQ202" s="649">
        <f t="shared" si="124"/>
        <v>0</v>
      </c>
      <c r="AR202" s="650"/>
      <c r="AS202" s="651">
        <f t="shared" si="125"/>
        <v>0</v>
      </c>
      <c r="AT202" s="652"/>
      <c r="AU202" s="141">
        <f t="shared" si="138"/>
        <v>0</v>
      </c>
      <c r="AV202" s="141">
        <f t="shared" si="139"/>
        <v>0</v>
      </c>
      <c r="AW202" s="141">
        <f t="shared" si="140"/>
        <v>0</v>
      </c>
      <c r="AX202" s="141">
        <f t="shared" si="141"/>
        <v>0</v>
      </c>
      <c r="AY202" s="141">
        <f t="shared" si="142"/>
        <v>0</v>
      </c>
      <c r="AZ202" s="141">
        <f t="shared" si="143"/>
        <v>0</v>
      </c>
      <c r="BA202" s="141">
        <f t="shared" si="144"/>
        <v>0</v>
      </c>
      <c r="BB202" s="141">
        <f t="shared" si="145"/>
        <v>0</v>
      </c>
      <c r="BC202" s="141">
        <f t="shared" si="146"/>
        <v>0</v>
      </c>
      <c r="BD202" s="141">
        <f t="shared" si="147"/>
        <v>0</v>
      </c>
      <c r="BE202" s="141">
        <f t="shared" si="148"/>
        <v>0</v>
      </c>
      <c r="BF202" s="141">
        <f t="shared" si="149"/>
        <v>0</v>
      </c>
      <c r="BG202" s="141">
        <f t="shared" si="126"/>
        <v>0</v>
      </c>
      <c r="BH202" s="141">
        <f t="shared" si="127"/>
        <v>0</v>
      </c>
      <c r="BI202" s="141">
        <f t="shared" si="150"/>
        <v>0</v>
      </c>
      <c r="BJ202" s="147">
        <f t="shared" si="128"/>
        <v>0</v>
      </c>
      <c r="BK202" s="141">
        <f t="shared" si="129"/>
        <v>0</v>
      </c>
      <c r="BL202" s="141">
        <f t="shared" si="130"/>
        <v>0</v>
      </c>
      <c r="BM202" s="141">
        <f t="shared" si="131"/>
        <v>0</v>
      </c>
      <c r="BN202" s="141">
        <f t="shared" si="132"/>
        <v>0</v>
      </c>
      <c r="BO202" s="141">
        <f t="shared" si="133"/>
        <v>0</v>
      </c>
      <c r="BP202" s="141">
        <f t="shared" si="134"/>
        <v>0</v>
      </c>
      <c r="BT202" s="177"/>
      <c r="BU202" s="173"/>
      <c r="BV202" s="174"/>
      <c r="BW202" s="117"/>
      <c r="BX202" s="180"/>
      <c r="BY202" s="117"/>
      <c r="BZ202" s="181"/>
      <c r="CA202" s="182"/>
      <c r="CB202" s="176"/>
      <c r="CC202" s="176"/>
      <c r="CF202" s="170"/>
      <c r="CG202" s="171"/>
      <c r="CH202" s="170"/>
      <c r="CI202" s="171"/>
    </row>
    <row r="203" spans="2:87" s="108" customFormat="1" ht="15" hidden="1" customHeight="1">
      <c r="B203" s="109"/>
      <c r="C203" s="141" t="e">
        <f t="shared" si="152"/>
        <v>#NUM!</v>
      </c>
      <c r="D203" s="141">
        <f t="shared" si="111"/>
        <v>0</v>
      </c>
      <c r="E203" s="141" t="str">
        <f>IFERROR(DGET($BV$30:$CC$82,F203,G202:G203),"")</f>
        <v/>
      </c>
      <c r="F203" s="142">
        <f t="shared" si="135"/>
        <v>0</v>
      </c>
      <c r="G203" s="142" t="b">
        <f>IF(Q203&gt;0,IF(AND(S203&gt;0,S203&lt;2),CONCATENATE(Q203," ","0-2"),IF(AND(S203&gt;=2,S203&lt;8),CONCATENATE(Q203," ","2-8"),)))</f>
        <v>0</v>
      </c>
      <c r="H203" s="80">
        <f t="shared" si="112"/>
        <v>0</v>
      </c>
      <c r="I203" s="80" t="str">
        <f t="shared" si="136"/>
        <v/>
      </c>
      <c r="J203" s="76"/>
      <c r="K203" s="76"/>
      <c r="L203" s="76"/>
      <c r="M203" s="80"/>
      <c r="N203" s="79"/>
      <c r="O203" s="148"/>
      <c r="P203" s="77">
        <f t="shared" si="137"/>
        <v>0</v>
      </c>
      <c r="Q203" s="81"/>
      <c r="R203" s="77"/>
      <c r="S203" s="146">
        <f t="shared" si="153"/>
        <v>0</v>
      </c>
      <c r="T203" s="141" t="b">
        <f t="shared" si="151"/>
        <v>0</v>
      </c>
      <c r="U203" s="649">
        <f t="shared" si="113"/>
        <v>0</v>
      </c>
      <c r="V203" s="650"/>
      <c r="W203" s="649">
        <f t="shared" si="114"/>
        <v>0</v>
      </c>
      <c r="X203" s="650"/>
      <c r="Y203" s="649">
        <f t="shared" si="115"/>
        <v>0</v>
      </c>
      <c r="Z203" s="650"/>
      <c r="AA203" s="649">
        <f t="shared" si="116"/>
        <v>0</v>
      </c>
      <c r="AB203" s="650"/>
      <c r="AC203" s="649">
        <f t="shared" si="117"/>
        <v>0</v>
      </c>
      <c r="AD203" s="650"/>
      <c r="AE203" s="649">
        <f t="shared" si="118"/>
        <v>0</v>
      </c>
      <c r="AF203" s="650"/>
      <c r="AG203" s="649">
        <f t="shared" si="119"/>
        <v>0</v>
      </c>
      <c r="AH203" s="650"/>
      <c r="AI203" s="649">
        <f t="shared" si="120"/>
        <v>0</v>
      </c>
      <c r="AJ203" s="650"/>
      <c r="AK203" s="649">
        <f t="shared" si="121"/>
        <v>0</v>
      </c>
      <c r="AL203" s="650"/>
      <c r="AM203" s="649">
        <f t="shared" si="122"/>
        <v>0</v>
      </c>
      <c r="AN203" s="650"/>
      <c r="AO203" s="649">
        <f t="shared" si="123"/>
        <v>0</v>
      </c>
      <c r="AP203" s="650"/>
      <c r="AQ203" s="649">
        <f t="shared" si="124"/>
        <v>0</v>
      </c>
      <c r="AR203" s="650"/>
      <c r="AS203" s="651">
        <f t="shared" si="125"/>
        <v>0</v>
      </c>
      <c r="AT203" s="652"/>
      <c r="AU203" s="141">
        <f t="shared" si="138"/>
        <v>0</v>
      </c>
      <c r="AV203" s="141">
        <f t="shared" si="139"/>
        <v>0</v>
      </c>
      <c r="AW203" s="141">
        <f t="shared" si="140"/>
        <v>0</v>
      </c>
      <c r="AX203" s="141">
        <f t="shared" si="141"/>
        <v>0</v>
      </c>
      <c r="AY203" s="141">
        <f t="shared" si="142"/>
        <v>0</v>
      </c>
      <c r="AZ203" s="141">
        <f t="shared" si="143"/>
        <v>0</v>
      </c>
      <c r="BA203" s="141">
        <f t="shared" si="144"/>
        <v>0</v>
      </c>
      <c r="BB203" s="141">
        <f t="shared" si="145"/>
        <v>0</v>
      </c>
      <c r="BC203" s="141">
        <f t="shared" si="146"/>
        <v>0</v>
      </c>
      <c r="BD203" s="141">
        <f t="shared" si="147"/>
        <v>0</v>
      </c>
      <c r="BE203" s="141">
        <f t="shared" si="148"/>
        <v>0</v>
      </c>
      <c r="BF203" s="141">
        <f t="shared" si="149"/>
        <v>0</v>
      </c>
      <c r="BG203" s="141">
        <f t="shared" si="126"/>
        <v>0</v>
      </c>
      <c r="BH203" s="141">
        <f t="shared" si="127"/>
        <v>0</v>
      </c>
      <c r="BI203" s="141">
        <f t="shared" si="150"/>
        <v>0</v>
      </c>
      <c r="BJ203" s="147">
        <f t="shared" si="128"/>
        <v>0</v>
      </c>
      <c r="BK203" s="141">
        <f t="shared" si="129"/>
        <v>0</v>
      </c>
      <c r="BL203" s="141">
        <f t="shared" si="130"/>
        <v>0</v>
      </c>
      <c r="BM203" s="141">
        <f t="shared" si="131"/>
        <v>0</v>
      </c>
      <c r="BN203" s="141">
        <f t="shared" si="132"/>
        <v>0</v>
      </c>
      <c r="BO203" s="141">
        <f t="shared" si="133"/>
        <v>0</v>
      </c>
      <c r="BP203" s="141">
        <f t="shared" si="134"/>
        <v>0</v>
      </c>
      <c r="BT203" s="177"/>
      <c r="BU203" s="173"/>
      <c r="BV203" s="174"/>
      <c r="BW203" s="117"/>
      <c r="BX203" s="180"/>
      <c r="BY203" s="117"/>
      <c r="BZ203" s="181"/>
      <c r="CA203" s="182"/>
      <c r="CB203" s="176"/>
      <c r="CC203" s="176"/>
      <c r="CF203" s="170"/>
      <c r="CG203" s="171"/>
      <c r="CH203" s="170"/>
      <c r="CI203" s="171"/>
    </row>
    <row r="204" spans="2:87" s="108" customFormat="1" ht="15" hidden="1" customHeight="1">
      <c r="B204" s="109"/>
      <c r="C204" s="141" t="e">
        <f t="shared" si="152"/>
        <v>#NUM!</v>
      </c>
      <c r="D204" s="141">
        <f t="shared" si="111"/>
        <v>0</v>
      </c>
      <c r="E204" s="141"/>
      <c r="F204" s="142">
        <f t="shared" si="135"/>
        <v>0</v>
      </c>
      <c r="G204" s="143" t="s">
        <v>146</v>
      </c>
      <c r="H204" s="80">
        <f t="shared" si="112"/>
        <v>0</v>
      </c>
      <c r="I204" s="80" t="str">
        <f t="shared" si="136"/>
        <v/>
      </c>
      <c r="J204" s="144"/>
      <c r="K204" s="144"/>
      <c r="L204" s="144"/>
      <c r="M204" s="76"/>
      <c r="N204" s="77"/>
      <c r="O204" s="145"/>
      <c r="P204" s="77">
        <f t="shared" si="137"/>
        <v>0</v>
      </c>
      <c r="Q204" s="78"/>
      <c r="R204" s="79"/>
      <c r="S204" s="146">
        <f t="shared" si="153"/>
        <v>0</v>
      </c>
      <c r="T204" s="141" t="b">
        <f t="shared" si="151"/>
        <v>0</v>
      </c>
      <c r="U204" s="649">
        <f t="shared" si="113"/>
        <v>0</v>
      </c>
      <c r="V204" s="650"/>
      <c r="W204" s="649">
        <f t="shared" si="114"/>
        <v>0</v>
      </c>
      <c r="X204" s="650"/>
      <c r="Y204" s="649">
        <f t="shared" si="115"/>
        <v>0</v>
      </c>
      <c r="Z204" s="650"/>
      <c r="AA204" s="649">
        <f t="shared" si="116"/>
        <v>0</v>
      </c>
      <c r="AB204" s="650"/>
      <c r="AC204" s="649">
        <f t="shared" si="117"/>
        <v>0</v>
      </c>
      <c r="AD204" s="650"/>
      <c r="AE204" s="649">
        <f t="shared" si="118"/>
        <v>0</v>
      </c>
      <c r="AF204" s="650"/>
      <c r="AG204" s="649">
        <f t="shared" si="119"/>
        <v>0</v>
      </c>
      <c r="AH204" s="650"/>
      <c r="AI204" s="649">
        <f t="shared" si="120"/>
        <v>0</v>
      </c>
      <c r="AJ204" s="650"/>
      <c r="AK204" s="649">
        <f t="shared" si="121"/>
        <v>0</v>
      </c>
      <c r="AL204" s="650"/>
      <c r="AM204" s="649">
        <f t="shared" si="122"/>
        <v>0</v>
      </c>
      <c r="AN204" s="650"/>
      <c r="AO204" s="649">
        <f t="shared" si="123"/>
        <v>0</v>
      </c>
      <c r="AP204" s="650"/>
      <c r="AQ204" s="649">
        <f t="shared" si="124"/>
        <v>0</v>
      </c>
      <c r="AR204" s="650"/>
      <c r="AS204" s="651">
        <f t="shared" si="125"/>
        <v>0</v>
      </c>
      <c r="AT204" s="652"/>
      <c r="AU204" s="141">
        <f t="shared" si="138"/>
        <v>0</v>
      </c>
      <c r="AV204" s="141">
        <f t="shared" si="139"/>
        <v>0</v>
      </c>
      <c r="AW204" s="141">
        <f t="shared" si="140"/>
        <v>0</v>
      </c>
      <c r="AX204" s="141">
        <f t="shared" si="141"/>
        <v>0</v>
      </c>
      <c r="AY204" s="141">
        <f t="shared" si="142"/>
        <v>0</v>
      </c>
      <c r="AZ204" s="141">
        <f t="shared" si="143"/>
        <v>0</v>
      </c>
      <c r="BA204" s="141">
        <f t="shared" si="144"/>
        <v>0</v>
      </c>
      <c r="BB204" s="141">
        <f t="shared" si="145"/>
        <v>0</v>
      </c>
      <c r="BC204" s="141">
        <f t="shared" si="146"/>
        <v>0</v>
      </c>
      <c r="BD204" s="141">
        <f t="shared" si="147"/>
        <v>0</v>
      </c>
      <c r="BE204" s="141">
        <f t="shared" si="148"/>
        <v>0</v>
      </c>
      <c r="BF204" s="141">
        <f t="shared" si="149"/>
        <v>0</v>
      </c>
      <c r="BG204" s="141">
        <f t="shared" si="126"/>
        <v>0</v>
      </c>
      <c r="BH204" s="141">
        <f t="shared" si="127"/>
        <v>0</v>
      </c>
      <c r="BI204" s="141">
        <f t="shared" si="150"/>
        <v>0</v>
      </c>
      <c r="BJ204" s="147">
        <f t="shared" si="128"/>
        <v>0</v>
      </c>
      <c r="BK204" s="141">
        <f t="shared" si="129"/>
        <v>0</v>
      </c>
      <c r="BL204" s="141">
        <f t="shared" si="130"/>
        <v>0</v>
      </c>
      <c r="BM204" s="141">
        <f t="shared" si="131"/>
        <v>0</v>
      </c>
      <c r="BN204" s="141">
        <f t="shared" si="132"/>
        <v>0</v>
      </c>
      <c r="BO204" s="141">
        <f t="shared" si="133"/>
        <v>0</v>
      </c>
      <c r="BP204" s="141">
        <f t="shared" si="134"/>
        <v>0</v>
      </c>
      <c r="BT204" s="177"/>
      <c r="BU204" s="173"/>
      <c r="BV204" s="174"/>
      <c r="BW204" s="117"/>
      <c r="BX204" s="180"/>
      <c r="BY204" s="117"/>
      <c r="BZ204" s="181"/>
      <c r="CA204" s="182"/>
      <c r="CB204" s="176"/>
      <c r="CC204" s="176"/>
      <c r="CF204" s="170"/>
      <c r="CG204" s="171"/>
      <c r="CH204" s="170"/>
      <c r="CI204" s="171"/>
    </row>
    <row r="205" spans="2:87" s="108" customFormat="1" ht="15" hidden="1" customHeight="1">
      <c r="B205" s="109"/>
      <c r="C205" s="141" t="e">
        <f t="shared" si="152"/>
        <v>#NUM!</v>
      </c>
      <c r="D205" s="141">
        <f t="shared" si="111"/>
        <v>0</v>
      </c>
      <c r="E205" s="141" t="str">
        <f>IFERROR(DGET($BV$30:$CC$82,F205,G204:G205),"")</f>
        <v/>
      </c>
      <c r="F205" s="142">
        <f t="shared" si="135"/>
        <v>0</v>
      </c>
      <c r="G205" s="142" t="b">
        <f>IF(Q205&gt;0,IF(AND(S205&gt;0,S205&lt;2),CONCATENATE(Q205," ","0-2"),IF(AND(S205&gt;=2,S205&lt;8),CONCATENATE(Q205," ","2-8"),)))</f>
        <v>0</v>
      </c>
      <c r="H205" s="80">
        <f t="shared" si="112"/>
        <v>0</v>
      </c>
      <c r="I205" s="80" t="str">
        <f t="shared" si="136"/>
        <v/>
      </c>
      <c r="J205" s="76"/>
      <c r="K205" s="76"/>
      <c r="L205" s="76"/>
      <c r="M205" s="80"/>
      <c r="N205" s="79"/>
      <c r="O205" s="148"/>
      <c r="P205" s="77">
        <f t="shared" si="137"/>
        <v>0</v>
      </c>
      <c r="Q205" s="81"/>
      <c r="R205" s="77"/>
      <c r="S205" s="146">
        <f t="shared" si="153"/>
        <v>0</v>
      </c>
      <c r="T205" s="141" t="b">
        <f t="shared" si="151"/>
        <v>0</v>
      </c>
      <c r="U205" s="649">
        <f t="shared" si="113"/>
        <v>0</v>
      </c>
      <c r="V205" s="650"/>
      <c r="W205" s="649">
        <f t="shared" si="114"/>
        <v>0</v>
      </c>
      <c r="X205" s="650"/>
      <c r="Y205" s="649">
        <f t="shared" si="115"/>
        <v>0</v>
      </c>
      <c r="Z205" s="650"/>
      <c r="AA205" s="649">
        <f t="shared" si="116"/>
        <v>0</v>
      </c>
      <c r="AB205" s="650"/>
      <c r="AC205" s="649">
        <f t="shared" si="117"/>
        <v>0</v>
      </c>
      <c r="AD205" s="650"/>
      <c r="AE205" s="649">
        <f t="shared" si="118"/>
        <v>0</v>
      </c>
      <c r="AF205" s="650"/>
      <c r="AG205" s="649">
        <f t="shared" si="119"/>
        <v>0</v>
      </c>
      <c r="AH205" s="650"/>
      <c r="AI205" s="649">
        <f t="shared" si="120"/>
        <v>0</v>
      </c>
      <c r="AJ205" s="650"/>
      <c r="AK205" s="649">
        <f t="shared" si="121"/>
        <v>0</v>
      </c>
      <c r="AL205" s="650"/>
      <c r="AM205" s="649">
        <f t="shared" si="122"/>
        <v>0</v>
      </c>
      <c r="AN205" s="650"/>
      <c r="AO205" s="649">
        <f t="shared" si="123"/>
        <v>0</v>
      </c>
      <c r="AP205" s="650"/>
      <c r="AQ205" s="649">
        <f t="shared" si="124"/>
        <v>0</v>
      </c>
      <c r="AR205" s="650"/>
      <c r="AS205" s="651">
        <f t="shared" si="125"/>
        <v>0</v>
      </c>
      <c r="AT205" s="652"/>
      <c r="AU205" s="141">
        <f t="shared" si="138"/>
        <v>0</v>
      </c>
      <c r="AV205" s="141">
        <f t="shared" si="139"/>
        <v>0</v>
      </c>
      <c r="AW205" s="141">
        <f t="shared" si="140"/>
        <v>0</v>
      </c>
      <c r="AX205" s="141">
        <f t="shared" si="141"/>
        <v>0</v>
      </c>
      <c r="AY205" s="141">
        <f t="shared" si="142"/>
        <v>0</v>
      </c>
      <c r="AZ205" s="141">
        <f t="shared" si="143"/>
        <v>0</v>
      </c>
      <c r="BA205" s="141">
        <f t="shared" si="144"/>
        <v>0</v>
      </c>
      <c r="BB205" s="141">
        <f t="shared" si="145"/>
        <v>0</v>
      </c>
      <c r="BC205" s="141">
        <f t="shared" si="146"/>
        <v>0</v>
      </c>
      <c r="BD205" s="141">
        <f t="shared" si="147"/>
        <v>0</v>
      </c>
      <c r="BE205" s="141">
        <f t="shared" si="148"/>
        <v>0</v>
      </c>
      <c r="BF205" s="141">
        <f t="shared" si="149"/>
        <v>0</v>
      </c>
      <c r="BG205" s="141">
        <f t="shared" si="126"/>
        <v>0</v>
      </c>
      <c r="BH205" s="141">
        <f t="shared" si="127"/>
        <v>0</v>
      </c>
      <c r="BI205" s="141">
        <f t="shared" si="150"/>
        <v>0</v>
      </c>
      <c r="BJ205" s="147">
        <f t="shared" si="128"/>
        <v>0</v>
      </c>
      <c r="BK205" s="141">
        <f t="shared" si="129"/>
        <v>0</v>
      </c>
      <c r="BL205" s="141">
        <f t="shared" si="130"/>
        <v>0</v>
      </c>
      <c r="BM205" s="141">
        <f t="shared" si="131"/>
        <v>0</v>
      </c>
      <c r="BN205" s="141">
        <f t="shared" si="132"/>
        <v>0</v>
      </c>
      <c r="BO205" s="141">
        <f t="shared" si="133"/>
        <v>0</v>
      </c>
      <c r="BP205" s="141">
        <f t="shared" si="134"/>
        <v>0</v>
      </c>
      <c r="BT205" s="177"/>
      <c r="BU205" s="173"/>
      <c r="BV205" s="174"/>
      <c r="BW205" s="117"/>
      <c r="BX205" s="180"/>
      <c r="BY205" s="117"/>
      <c r="BZ205" s="181"/>
      <c r="CA205" s="182"/>
      <c r="CB205" s="176"/>
      <c r="CC205" s="176"/>
      <c r="CF205" s="170"/>
      <c r="CG205" s="171"/>
      <c r="CH205" s="170"/>
      <c r="CI205" s="171"/>
    </row>
    <row r="206" spans="2:87" s="108" customFormat="1" ht="15" hidden="1" customHeight="1">
      <c r="B206" s="109"/>
      <c r="C206" s="141" t="e">
        <f t="shared" si="152"/>
        <v>#NUM!</v>
      </c>
      <c r="D206" s="141">
        <f t="shared" si="111"/>
        <v>0</v>
      </c>
      <c r="E206" s="141"/>
      <c r="F206" s="142">
        <f t="shared" si="135"/>
        <v>0</v>
      </c>
      <c r="G206" s="143" t="s">
        <v>146</v>
      </c>
      <c r="H206" s="80">
        <f t="shared" si="112"/>
        <v>0</v>
      </c>
      <c r="I206" s="80" t="str">
        <f t="shared" si="136"/>
        <v/>
      </c>
      <c r="J206" s="144"/>
      <c r="K206" s="144"/>
      <c r="L206" s="144"/>
      <c r="M206" s="76"/>
      <c r="N206" s="77"/>
      <c r="O206" s="145"/>
      <c r="P206" s="77">
        <f t="shared" si="137"/>
        <v>0</v>
      </c>
      <c r="Q206" s="78"/>
      <c r="R206" s="79"/>
      <c r="S206" s="146">
        <f t="shared" si="153"/>
        <v>0</v>
      </c>
      <c r="T206" s="141" t="b">
        <f t="shared" si="151"/>
        <v>0</v>
      </c>
      <c r="U206" s="649">
        <f t="shared" si="113"/>
        <v>0</v>
      </c>
      <c r="V206" s="650"/>
      <c r="W206" s="649">
        <f t="shared" si="114"/>
        <v>0</v>
      </c>
      <c r="X206" s="650"/>
      <c r="Y206" s="649">
        <f t="shared" si="115"/>
        <v>0</v>
      </c>
      <c r="Z206" s="650"/>
      <c r="AA206" s="649">
        <f t="shared" si="116"/>
        <v>0</v>
      </c>
      <c r="AB206" s="650"/>
      <c r="AC206" s="649">
        <f t="shared" si="117"/>
        <v>0</v>
      </c>
      <c r="AD206" s="650"/>
      <c r="AE206" s="649">
        <f t="shared" si="118"/>
        <v>0</v>
      </c>
      <c r="AF206" s="650"/>
      <c r="AG206" s="649">
        <f t="shared" si="119"/>
        <v>0</v>
      </c>
      <c r="AH206" s="650"/>
      <c r="AI206" s="649">
        <f t="shared" si="120"/>
        <v>0</v>
      </c>
      <c r="AJ206" s="650"/>
      <c r="AK206" s="649">
        <f t="shared" si="121"/>
        <v>0</v>
      </c>
      <c r="AL206" s="650"/>
      <c r="AM206" s="649">
        <f t="shared" si="122"/>
        <v>0</v>
      </c>
      <c r="AN206" s="650"/>
      <c r="AO206" s="649">
        <f t="shared" si="123"/>
        <v>0</v>
      </c>
      <c r="AP206" s="650"/>
      <c r="AQ206" s="649">
        <f t="shared" si="124"/>
        <v>0</v>
      </c>
      <c r="AR206" s="650"/>
      <c r="AS206" s="651">
        <f t="shared" si="125"/>
        <v>0</v>
      </c>
      <c r="AT206" s="652"/>
      <c r="AU206" s="141">
        <f t="shared" si="138"/>
        <v>0</v>
      </c>
      <c r="AV206" s="141">
        <f t="shared" si="139"/>
        <v>0</v>
      </c>
      <c r="AW206" s="141">
        <f t="shared" si="140"/>
        <v>0</v>
      </c>
      <c r="AX206" s="141">
        <f t="shared" si="141"/>
        <v>0</v>
      </c>
      <c r="AY206" s="141">
        <f t="shared" si="142"/>
        <v>0</v>
      </c>
      <c r="AZ206" s="141">
        <f t="shared" si="143"/>
        <v>0</v>
      </c>
      <c r="BA206" s="141">
        <f t="shared" si="144"/>
        <v>0</v>
      </c>
      <c r="BB206" s="141">
        <f t="shared" si="145"/>
        <v>0</v>
      </c>
      <c r="BC206" s="141">
        <f t="shared" si="146"/>
        <v>0</v>
      </c>
      <c r="BD206" s="141">
        <f t="shared" si="147"/>
        <v>0</v>
      </c>
      <c r="BE206" s="141">
        <f t="shared" si="148"/>
        <v>0</v>
      </c>
      <c r="BF206" s="141">
        <f t="shared" si="149"/>
        <v>0</v>
      </c>
      <c r="BG206" s="141">
        <f t="shared" si="126"/>
        <v>0</v>
      </c>
      <c r="BH206" s="141">
        <f t="shared" si="127"/>
        <v>0</v>
      </c>
      <c r="BI206" s="141">
        <f t="shared" si="150"/>
        <v>0</v>
      </c>
      <c r="BJ206" s="147">
        <f t="shared" si="128"/>
        <v>0</v>
      </c>
      <c r="BK206" s="141">
        <f t="shared" si="129"/>
        <v>0</v>
      </c>
      <c r="BL206" s="141">
        <f t="shared" si="130"/>
        <v>0</v>
      </c>
      <c r="BM206" s="141">
        <f t="shared" si="131"/>
        <v>0</v>
      </c>
      <c r="BN206" s="141">
        <f t="shared" si="132"/>
        <v>0</v>
      </c>
      <c r="BO206" s="141">
        <f t="shared" si="133"/>
        <v>0</v>
      </c>
      <c r="BP206" s="141">
        <f t="shared" si="134"/>
        <v>0</v>
      </c>
      <c r="BT206" s="177"/>
      <c r="BU206" s="173"/>
      <c r="BV206" s="174"/>
      <c r="BW206" s="117"/>
      <c r="BX206" s="180"/>
      <c r="BY206" s="117"/>
      <c r="BZ206" s="181"/>
      <c r="CA206" s="182"/>
      <c r="CB206" s="176"/>
      <c r="CC206" s="176"/>
      <c r="CF206" s="170"/>
      <c r="CG206" s="171"/>
      <c r="CH206" s="170"/>
      <c r="CI206" s="171"/>
    </row>
    <row r="207" spans="2:87" s="108" customFormat="1" ht="15" hidden="1" customHeight="1">
      <c r="B207" s="109"/>
      <c r="C207" s="141" t="e">
        <f t="shared" si="152"/>
        <v>#NUM!</v>
      </c>
      <c r="D207" s="141">
        <f t="shared" si="111"/>
        <v>0</v>
      </c>
      <c r="E207" s="141" t="str">
        <f>IFERROR(DGET($BV$30:$CC$82,F207,G206:G207),"")</f>
        <v/>
      </c>
      <c r="F207" s="142">
        <f t="shared" si="135"/>
        <v>0</v>
      </c>
      <c r="G207" s="142" t="b">
        <f>IF(Q207&gt;0,IF(AND(S207&gt;0,S207&lt;2),CONCATENATE(Q207," ","0-2"),IF(AND(S207&gt;=2,S207&lt;8),CONCATENATE(Q207," ","2-8"),)))</f>
        <v>0</v>
      </c>
      <c r="H207" s="80">
        <f t="shared" si="112"/>
        <v>0</v>
      </c>
      <c r="I207" s="80" t="str">
        <f t="shared" si="136"/>
        <v/>
      </c>
      <c r="J207" s="76"/>
      <c r="K207" s="76"/>
      <c r="L207" s="76"/>
      <c r="M207" s="80"/>
      <c r="N207" s="79"/>
      <c r="O207" s="148"/>
      <c r="P207" s="77">
        <f t="shared" si="137"/>
        <v>0</v>
      </c>
      <c r="Q207" s="81"/>
      <c r="R207" s="77"/>
      <c r="S207" s="146">
        <f t="shared" si="153"/>
        <v>0</v>
      </c>
      <c r="T207" s="141" t="b">
        <f t="shared" si="151"/>
        <v>0</v>
      </c>
      <c r="U207" s="649">
        <f t="shared" si="113"/>
        <v>0</v>
      </c>
      <c r="V207" s="650"/>
      <c r="W207" s="649">
        <f t="shared" si="114"/>
        <v>0</v>
      </c>
      <c r="X207" s="650"/>
      <c r="Y207" s="649">
        <f t="shared" si="115"/>
        <v>0</v>
      </c>
      <c r="Z207" s="650"/>
      <c r="AA207" s="649">
        <f t="shared" si="116"/>
        <v>0</v>
      </c>
      <c r="AB207" s="650"/>
      <c r="AC207" s="649">
        <f t="shared" si="117"/>
        <v>0</v>
      </c>
      <c r="AD207" s="650"/>
      <c r="AE207" s="649">
        <f t="shared" si="118"/>
        <v>0</v>
      </c>
      <c r="AF207" s="650"/>
      <c r="AG207" s="649">
        <f t="shared" si="119"/>
        <v>0</v>
      </c>
      <c r="AH207" s="650"/>
      <c r="AI207" s="649">
        <f t="shared" si="120"/>
        <v>0</v>
      </c>
      <c r="AJ207" s="650"/>
      <c r="AK207" s="649">
        <f t="shared" si="121"/>
        <v>0</v>
      </c>
      <c r="AL207" s="650"/>
      <c r="AM207" s="649">
        <f t="shared" si="122"/>
        <v>0</v>
      </c>
      <c r="AN207" s="650"/>
      <c r="AO207" s="649">
        <f t="shared" si="123"/>
        <v>0</v>
      </c>
      <c r="AP207" s="650"/>
      <c r="AQ207" s="649">
        <f t="shared" si="124"/>
        <v>0</v>
      </c>
      <c r="AR207" s="650"/>
      <c r="AS207" s="651">
        <f t="shared" si="125"/>
        <v>0</v>
      </c>
      <c r="AT207" s="652"/>
      <c r="AU207" s="141">
        <f t="shared" si="138"/>
        <v>0</v>
      </c>
      <c r="AV207" s="141">
        <f t="shared" si="139"/>
        <v>0</v>
      </c>
      <c r="AW207" s="141">
        <f t="shared" si="140"/>
        <v>0</v>
      </c>
      <c r="AX207" s="141">
        <f t="shared" si="141"/>
        <v>0</v>
      </c>
      <c r="AY207" s="141">
        <f t="shared" si="142"/>
        <v>0</v>
      </c>
      <c r="AZ207" s="141">
        <f t="shared" si="143"/>
        <v>0</v>
      </c>
      <c r="BA207" s="141">
        <f t="shared" si="144"/>
        <v>0</v>
      </c>
      <c r="BB207" s="141">
        <f t="shared" si="145"/>
        <v>0</v>
      </c>
      <c r="BC207" s="141">
        <f t="shared" si="146"/>
        <v>0</v>
      </c>
      <c r="BD207" s="141">
        <f t="shared" si="147"/>
        <v>0</v>
      </c>
      <c r="BE207" s="141">
        <f t="shared" si="148"/>
        <v>0</v>
      </c>
      <c r="BF207" s="141">
        <f t="shared" si="149"/>
        <v>0</v>
      </c>
      <c r="BG207" s="141">
        <f t="shared" si="126"/>
        <v>0</v>
      </c>
      <c r="BH207" s="141">
        <f t="shared" si="127"/>
        <v>0</v>
      </c>
      <c r="BI207" s="141">
        <f t="shared" si="150"/>
        <v>0</v>
      </c>
      <c r="BJ207" s="147">
        <f t="shared" si="128"/>
        <v>0</v>
      </c>
      <c r="BK207" s="141">
        <f t="shared" si="129"/>
        <v>0</v>
      </c>
      <c r="BL207" s="141">
        <f t="shared" si="130"/>
        <v>0</v>
      </c>
      <c r="BM207" s="141">
        <f t="shared" si="131"/>
        <v>0</v>
      </c>
      <c r="BN207" s="141">
        <f t="shared" si="132"/>
        <v>0</v>
      </c>
      <c r="BO207" s="141">
        <f t="shared" si="133"/>
        <v>0</v>
      </c>
      <c r="BP207" s="141">
        <f t="shared" si="134"/>
        <v>0</v>
      </c>
      <c r="BT207" s="177"/>
      <c r="BU207" s="173"/>
      <c r="BV207" s="174"/>
      <c r="BW207" s="117"/>
      <c r="BX207" s="180"/>
      <c r="BY207" s="117"/>
      <c r="BZ207" s="181"/>
      <c r="CA207" s="182"/>
      <c r="CB207" s="176"/>
      <c r="CC207" s="176"/>
      <c r="CF207" s="170"/>
      <c r="CG207" s="171"/>
      <c r="CH207" s="170"/>
      <c r="CI207" s="171"/>
    </row>
    <row r="208" spans="2:87" s="108" customFormat="1" ht="15" hidden="1" customHeight="1">
      <c r="B208" s="109"/>
      <c r="C208" s="141" t="e">
        <f t="shared" si="152"/>
        <v>#NUM!</v>
      </c>
      <c r="D208" s="141">
        <f t="shared" si="111"/>
        <v>0</v>
      </c>
      <c r="E208" s="141"/>
      <c r="F208" s="142">
        <f t="shared" si="135"/>
        <v>0</v>
      </c>
      <c r="G208" s="143" t="s">
        <v>146</v>
      </c>
      <c r="H208" s="80">
        <f t="shared" si="112"/>
        <v>0</v>
      </c>
      <c r="I208" s="80" t="str">
        <f t="shared" si="136"/>
        <v/>
      </c>
      <c r="J208" s="144"/>
      <c r="K208" s="144"/>
      <c r="L208" s="144"/>
      <c r="M208" s="76"/>
      <c r="N208" s="77"/>
      <c r="O208" s="145"/>
      <c r="P208" s="77">
        <f t="shared" si="137"/>
        <v>0</v>
      </c>
      <c r="Q208" s="78"/>
      <c r="R208" s="79"/>
      <c r="S208" s="146">
        <f t="shared" si="153"/>
        <v>0</v>
      </c>
      <c r="T208" s="141" t="b">
        <f t="shared" si="151"/>
        <v>0</v>
      </c>
      <c r="U208" s="649">
        <f t="shared" si="113"/>
        <v>0</v>
      </c>
      <c r="V208" s="650"/>
      <c r="W208" s="649">
        <f t="shared" si="114"/>
        <v>0</v>
      </c>
      <c r="X208" s="650"/>
      <c r="Y208" s="649">
        <f t="shared" si="115"/>
        <v>0</v>
      </c>
      <c r="Z208" s="650"/>
      <c r="AA208" s="649">
        <f t="shared" si="116"/>
        <v>0</v>
      </c>
      <c r="AB208" s="650"/>
      <c r="AC208" s="649">
        <f t="shared" si="117"/>
        <v>0</v>
      </c>
      <c r="AD208" s="650"/>
      <c r="AE208" s="649">
        <f t="shared" si="118"/>
        <v>0</v>
      </c>
      <c r="AF208" s="650"/>
      <c r="AG208" s="649">
        <f t="shared" si="119"/>
        <v>0</v>
      </c>
      <c r="AH208" s="650"/>
      <c r="AI208" s="649">
        <f t="shared" si="120"/>
        <v>0</v>
      </c>
      <c r="AJ208" s="650"/>
      <c r="AK208" s="649">
        <f t="shared" si="121"/>
        <v>0</v>
      </c>
      <c r="AL208" s="650"/>
      <c r="AM208" s="649">
        <f t="shared" si="122"/>
        <v>0</v>
      </c>
      <c r="AN208" s="650"/>
      <c r="AO208" s="649">
        <f t="shared" si="123"/>
        <v>0</v>
      </c>
      <c r="AP208" s="650"/>
      <c r="AQ208" s="649">
        <f t="shared" si="124"/>
        <v>0</v>
      </c>
      <c r="AR208" s="650"/>
      <c r="AS208" s="651">
        <f t="shared" si="125"/>
        <v>0</v>
      </c>
      <c r="AT208" s="652"/>
      <c r="AU208" s="141">
        <f t="shared" si="138"/>
        <v>0</v>
      </c>
      <c r="AV208" s="141">
        <f t="shared" si="139"/>
        <v>0</v>
      </c>
      <c r="AW208" s="141">
        <f t="shared" si="140"/>
        <v>0</v>
      </c>
      <c r="AX208" s="141">
        <f t="shared" si="141"/>
        <v>0</v>
      </c>
      <c r="AY208" s="141">
        <f t="shared" si="142"/>
        <v>0</v>
      </c>
      <c r="AZ208" s="141">
        <f t="shared" si="143"/>
        <v>0</v>
      </c>
      <c r="BA208" s="141">
        <f t="shared" si="144"/>
        <v>0</v>
      </c>
      <c r="BB208" s="141">
        <f t="shared" si="145"/>
        <v>0</v>
      </c>
      <c r="BC208" s="141">
        <f t="shared" si="146"/>
        <v>0</v>
      </c>
      <c r="BD208" s="141">
        <f t="shared" si="147"/>
        <v>0</v>
      </c>
      <c r="BE208" s="141">
        <f t="shared" si="148"/>
        <v>0</v>
      </c>
      <c r="BF208" s="141">
        <f t="shared" si="149"/>
        <v>0</v>
      </c>
      <c r="BG208" s="141">
        <f t="shared" si="126"/>
        <v>0</v>
      </c>
      <c r="BH208" s="141">
        <f t="shared" si="127"/>
        <v>0</v>
      </c>
      <c r="BI208" s="141">
        <f t="shared" si="150"/>
        <v>0</v>
      </c>
      <c r="BJ208" s="147">
        <f t="shared" si="128"/>
        <v>0</v>
      </c>
      <c r="BK208" s="141">
        <f t="shared" si="129"/>
        <v>0</v>
      </c>
      <c r="BL208" s="141">
        <f t="shared" si="130"/>
        <v>0</v>
      </c>
      <c r="BM208" s="141">
        <f t="shared" si="131"/>
        <v>0</v>
      </c>
      <c r="BN208" s="141">
        <f t="shared" si="132"/>
        <v>0</v>
      </c>
      <c r="BO208" s="141">
        <f t="shared" si="133"/>
        <v>0</v>
      </c>
      <c r="BP208" s="141">
        <f t="shared" si="134"/>
        <v>0</v>
      </c>
      <c r="BT208" s="177"/>
      <c r="BU208" s="173"/>
      <c r="BV208" s="174"/>
      <c r="BW208" s="117"/>
      <c r="BX208" s="180"/>
      <c r="BY208" s="117"/>
      <c r="BZ208" s="181"/>
      <c r="CA208" s="182"/>
      <c r="CB208" s="176"/>
      <c r="CC208" s="176"/>
      <c r="CF208" s="170"/>
      <c r="CG208" s="171"/>
      <c r="CH208" s="170"/>
      <c r="CI208" s="171"/>
    </row>
    <row r="209" spans="2:87" s="108" customFormat="1" ht="15" hidden="1" customHeight="1">
      <c r="B209" s="109"/>
      <c r="C209" s="141" t="e">
        <f t="shared" si="152"/>
        <v>#NUM!</v>
      </c>
      <c r="D209" s="141">
        <f t="shared" si="111"/>
        <v>0</v>
      </c>
      <c r="E209" s="141" t="str">
        <f>IFERROR(DGET($BV$30:$CC$82,F209,G208:G209),"")</f>
        <v/>
      </c>
      <c r="F209" s="142">
        <f t="shared" si="135"/>
        <v>0</v>
      </c>
      <c r="G209" s="142" t="b">
        <f>IF(Q209&gt;0,IF(AND(S209&gt;0,S209&lt;2),CONCATENATE(Q209," ","0-2"),IF(AND(S209&gt;=2,S209&lt;8),CONCATENATE(Q209," ","2-8"),)))</f>
        <v>0</v>
      </c>
      <c r="H209" s="80">
        <f t="shared" si="112"/>
        <v>0</v>
      </c>
      <c r="I209" s="80" t="str">
        <f t="shared" si="136"/>
        <v/>
      </c>
      <c r="J209" s="76"/>
      <c r="K209" s="76"/>
      <c r="L209" s="76"/>
      <c r="M209" s="80"/>
      <c r="N209" s="79"/>
      <c r="O209" s="148"/>
      <c r="P209" s="77">
        <f t="shared" si="137"/>
        <v>0</v>
      </c>
      <c r="Q209" s="81"/>
      <c r="R209" s="77"/>
      <c r="S209" s="146">
        <f t="shared" si="153"/>
        <v>0</v>
      </c>
      <c r="T209" s="141" t="b">
        <f t="shared" si="151"/>
        <v>0</v>
      </c>
      <c r="U209" s="649">
        <f t="shared" si="113"/>
        <v>0</v>
      </c>
      <c r="V209" s="650"/>
      <c r="W209" s="649">
        <f t="shared" si="114"/>
        <v>0</v>
      </c>
      <c r="X209" s="650"/>
      <c r="Y209" s="649">
        <f t="shared" si="115"/>
        <v>0</v>
      </c>
      <c r="Z209" s="650"/>
      <c r="AA209" s="649">
        <f t="shared" si="116"/>
        <v>0</v>
      </c>
      <c r="AB209" s="650"/>
      <c r="AC209" s="649">
        <f t="shared" si="117"/>
        <v>0</v>
      </c>
      <c r="AD209" s="650"/>
      <c r="AE209" s="649">
        <f t="shared" si="118"/>
        <v>0</v>
      </c>
      <c r="AF209" s="650"/>
      <c r="AG209" s="649">
        <f t="shared" si="119"/>
        <v>0</v>
      </c>
      <c r="AH209" s="650"/>
      <c r="AI209" s="649">
        <f t="shared" si="120"/>
        <v>0</v>
      </c>
      <c r="AJ209" s="650"/>
      <c r="AK209" s="649">
        <f t="shared" si="121"/>
        <v>0</v>
      </c>
      <c r="AL209" s="650"/>
      <c r="AM209" s="649">
        <f t="shared" si="122"/>
        <v>0</v>
      </c>
      <c r="AN209" s="650"/>
      <c r="AO209" s="649">
        <f t="shared" si="123"/>
        <v>0</v>
      </c>
      <c r="AP209" s="650"/>
      <c r="AQ209" s="649">
        <f t="shared" si="124"/>
        <v>0</v>
      </c>
      <c r="AR209" s="650"/>
      <c r="AS209" s="651">
        <f t="shared" si="125"/>
        <v>0</v>
      </c>
      <c r="AT209" s="652"/>
      <c r="AU209" s="141">
        <f t="shared" si="138"/>
        <v>0</v>
      </c>
      <c r="AV209" s="141">
        <f t="shared" si="139"/>
        <v>0</v>
      </c>
      <c r="AW209" s="141">
        <f t="shared" si="140"/>
        <v>0</v>
      </c>
      <c r="AX209" s="141">
        <f t="shared" si="141"/>
        <v>0</v>
      </c>
      <c r="AY209" s="141">
        <f t="shared" si="142"/>
        <v>0</v>
      </c>
      <c r="AZ209" s="141">
        <f t="shared" si="143"/>
        <v>0</v>
      </c>
      <c r="BA209" s="141">
        <f t="shared" si="144"/>
        <v>0</v>
      </c>
      <c r="BB209" s="141">
        <f t="shared" si="145"/>
        <v>0</v>
      </c>
      <c r="BC209" s="141">
        <f t="shared" si="146"/>
        <v>0</v>
      </c>
      <c r="BD209" s="141">
        <f t="shared" si="147"/>
        <v>0</v>
      </c>
      <c r="BE209" s="141">
        <f t="shared" si="148"/>
        <v>0</v>
      </c>
      <c r="BF209" s="141">
        <f t="shared" si="149"/>
        <v>0</v>
      </c>
      <c r="BG209" s="141">
        <f t="shared" si="126"/>
        <v>0</v>
      </c>
      <c r="BH209" s="141">
        <f t="shared" si="127"/>
        <v>0</v>
      </c>
      <c r="BI209" s="141">
        <f t="shared" si="150"/>
        <v>0</v>
      </c>
      <c r="BJ209" s="147">
        <f t="shared" si="128"/>
        <v>0</v>
      </c>
      <c r="BK209" s="141">
        <f t="shared" si="129"/>
        <v>0</v>
      </c>
      <c r="BL209" s="141">
        <f t="shared" si="130"/>
        <v>0</v>
      </c>
      <c r="BM209" s="141">
        <f t="shared" si="131"/>
        <v>0</v>
      </c>
      <c r="BN209" s="141">
        <f t="shared" si="132"/>
        <v>0</v>
      </c>
      <c r="BO209" s="141">
        <f t="shared" si="133"/>
        <v>0</v>
      </c>
      <c r="BP209" s="141">
        <f t="shared" si="134"/>
        <v>0</v>
      </c>
      <c r="BT209" s="177"/>
      <c r="BU209" s="173"/>
      <c r="BV209" s="174"/>
      <c r="BW209" s="117"/>
      <c r="BX209" s="180"/>
      <c r="BY209" s="117"/>
      <c r="BZ209" s="181"/>
      <c r="CA209" s="182"/>
      <c r="CB209" s="176"/>
      <c r="CC209" s="176"/>
      <c r="CF209" s="170"/>
      <c r="CG209" s="171"/>
      <c r="CH209" s="170"/>
      <c r="CI209" s="171"/>
    </row>
    <row r="210" spans="2:87" s="108" customFormat="1" ht="15" hidden="1" customHeight="1">
      <c r="B210" s="109"/>
      <c r="C210" s="141" t="e">
        <f t="shared" si="152"/>
        <v>#NUM!</v>
      </c>
      <c r="D210" s="141">
        <f t="shared" si="111"/>
        <v>0</v>
      </c>
      <c r="E210" s="141"/>
      <c r="F210" s="142">
        <f t="shared" si="135"/>
        <v>0</v>
      </c>
      <c r="G210" s="143" t="s">
        <v>146</v>
      </c>
      <c r="H210" s="80">
        <f t="shared" si="112"/>
        <v>0</v>
      </c>
      <c r="I210" s="80" t="str">
        <f t="shared" si="136"/>
        <v/>
      </c>
      <c r="J210" s="144"/>
      <c r="K210" s="144"/>
      <c r="L210" s="144"/>
      <c r="M210" s="76"/>
      <c r="N210" s="77"/>
      <c r="O210" s="145"/>
      <c r="P210" s="77">
        <f t="shared" si="137"/>
        <v>0</v>
      </c>
      <c r="Q210" s="78"/>
      <c r="R210" s="79"/>
      <c r="S210" s="146">
        <f t="shared" si="153"/>
        <v>0</v>
      </c>
      <c r="T210" s="141" t="b">
        <f t="shared" si="151"/>
        <v>0</v>
      </c>
      <c r="U210" s="649">
        <f t="shared" si="113"/>
        <v>0</v>
      </c>
      <c r="V210" s="650"/>
      <c r="W210" s="649">
        <f t="shared" si="114"/>
        <v>0</v>
      </c>
      <c r="X210" s="650"/>
      <c r="Y210" s="649">
        <f t="shared" si="115"/>
        <v>0</v>
      </c>
      <c r="Z210" s="650"/>
      <c r="AA210" s="649">
        <f t="shared" si="116"/>
        <v>0</v>
      </c>
      <c r="AB210" s="650"/>
      <c r="AC210" s="649">
        <f t="shared" si="117"/>
        <v>0</v>
      </c>
      <c r="AD210" s="650"/>
      <c r="AE210" s="649">
        <f t="shared" si="118"/>
        <v>0</v>
      </c>
      <c r="AF210" s="650"/>
      <c r="AG210" s="649">
        <f t="shared" si="119"/>
        <v>0</v>
      </c>
      <c r="AH210" s="650"/>
      <c r="AI210" s="649">
        <f t="shared" si="120"/>
        <v>0</v>
      </c>
      <c r="AJ210" s="650"/>
      <c r="AK210" s="649">
        <f t="shared" si="121"/>
        <v>0</v>
      </c>
      <c r="AL210" s="650"/>
      <c r="AM210" s="649">
        <f t="shared" si="122"/>
        <v>0</v>
      </c>
      <c r="AN210" s="650"/>
      <c r="AO210" s="649">
        <f t="shared" si="123"/>
        <v>0</v>
      </c>
      <c r="AP210" s="650"/>
      <c r="AQ210" s="649">
        <f t="shared" si="124"/>
        <v>0</v>
      </c>
      <c r="AR210" s="650"/>
      <c r="AS210" s="651">
        <f t="shared" si="125"/>
        <v>0</v>
      </c>
      <c r="AT210" s="652"/>
      <c r="AU210" s="141">
        <f t="shared" si="138"/>
        <v>0</v>
      </c>
      <c r="AV210" s="141">
        <f t="shared" si="139"/>
        <v>0</v>
      </c>
      <c r="AW210" s="141">
        <f t="shared" si="140"/>
        <v>0</v>
      </c>
      <c r="AX210" s="141">
        <f t="shared" si="141"/>
        <v>0</v>
      </c>
      <c r="AY210" s="141">
        <f t="shared" si="142"/>
        <v>0</v>
      </c>
      <c r="AZ210" s="141">
        <f t="shared" si="143"/>
        <v>0</v>
      </c>
      <c r="BA210" s="141">
        <f t="shared" si="144"/>
        <v>0</v>
      </c>
      <c r="BB210" s="141">
        <f t="shared" si="145"/>
        <v>0</v>
      </c>
      <c r="BC210" s="141">
        <f t="shared" si="146"/>
        <v>0</v>
      </c>
      <c r="BD210" s="141">
        <f t="shared" si="147"/>
        <v>0</v>
      </c>
      <c r="BE210" s="141">
        <f t="shared" si="148"/>
        <v>0</v>
      </c>
      <c r="BF210" s="141">
        <f t="shared" si="149"/>
        <v>0</v>
      </c>
      <c r="BG210" s="141">
        <f t="shared" si="126"/>
        <v>0</v>
      </c>
      <c r="BH210" s="141">
        <f t="shared" si="127"/>
        <v>0</v>
      </c>
      <c r="BI210" s="141">
        <f t="shared" si="150"/>
        <v>0</v>
      </c>
      <c r="BJ210" s="147">
        <f t="shared" si="128"/>
        <v>0</v>
      </c>
      <c r="BK210" s="141">
        <f t="shared" si="129"/>
        <v>0</v>
      </c>
      <c r="BL210" s="141">
        <f t="shared" si="130"/>
        <v>0</v>
      </c>
      <c r="BM210" s="141">
        <f t="shared" si="131"/>
        <v>0</v>
      </c>
      <c r="BN210" s="141">
        <f t="shared" si="132"/>
        <v>0</v>
      </c>
      <c r="BO210" s="141">
        <f t="shared" si="133"/>
        <v>0</v>
      </c>
      <c r="BP210" s="141">
        <f t="shared" si="134"/>
        <v>0</v>
      </c>
      <c r="BT210" s="177"/>
      <c r="BU210" s="173"/>
      <c r="BV210" s="174"/>
      <c r="BW210" s="117"/>
      <c r="BX210" s="180"/>
      <c r="BY210" s="117"/>
      <c r="BZ210" s="181"/>
      <c r="CA210" s="182"/>
      <c r="CB210" s="176"/>
      <c r="CC210" s="176"/>
      <c r="CF210" s="170"/>
      <c r="CG210" s="171"/>
      <c r="CH210" s="170"/>
      <c r="CI210" s="171"/>
    </row>
    <row r="211" spans="2:87" s="108" customFormat="1" ht="15" hidden="1" customHeight="1">
      <c r="B211" s="109"/>
      <c r="C211" s="141" t="e">
        <f t="shared" si="152"/>
        <v>#NUM!</v>
      </c>
      <c r="D211" s="141">
        <f t="shared" si="111"/>
        <v>0</v>
      </c>
      <c r="E211" s="141" t="str">
        <f>IFERROR(DGET($BV$30:$CC$82,F211,G210:G211),"")</f>
        <v/>
      </c>
      <c r="F211" s="142">
        <f t="shared" si="135"/>
        <v>0</v>
      </c>
      <c r="G211" s="142" t="b">
        <f>IF(Q211&gt;0,IF(AND(S211&gt;0,S211&lt;2),CONCATENATE(Q211," ","0-2"),IF(AND(S211&gt;=2,S211&lt;8),CONCATENATE(Q211," ","2-8"),)))</f>
        <v>0</v>
      </c>
      <c r="H211" s="80">
        <f t="shared" si="112"/>
        <v>0</v>
      </c>
      <c r="I211" s="80" t="str">
        <f t="shared" si="136"/>
        <v/>
      </c>
      <c r="J211" s="76"/>
      <c r="K211" s="76"/>
      <c r="L211" s="76"/>
      <c r="M211" s="80"/>
      <c r="N211" s="79"/>
      <c r="O211" s="148"/>
      <c r="P211" s="77">
        <f t="shared" si="137"/>
        <v>0</v>
      </c>
      <c r="Q211" s="81"/>
      <c r="R211" s="77"/>
      <c r="S211" s="146">
        <f t="shared" si="153"/>
        <v>0</v>
      </c>
      <c r="T211" s="141" t="b">
        <f t="shared" si="151"/>
        <v>0</v>
      </c>
      <c r="U211" s="649">
        <f t="shared" si="113"/>
        <v>0</v>
      </c>
      <c r="V211" s="650"/>
      <c r="W211" s="649">
        <f t="shared" si="114"/>
        <v>0</v>
      </c>
      <c r="X211" s="650"/>
      <c r="Y211" s="649">
        <f t="shared" si="115"/>
        <v>0</v>
      </c>
      <c r="Z211" s="650"/>
      <c r="AA211" s="649">
        <f t="shared" si="116"/>
        <v>0</v>
      </c>
      <c r="AB211" s="650"/>
      <c r="AC211" s="649">
        <f t="shared" si="117"/>
        <v>0</v>
      </c>
      <c r="AD211" s="650"/>
      <c r="AE211" s="649">
        <f t="shared" si="118"/>
        <v>0</v>
      </c>
      <c r="AF211" s="650"/>
      <c r="AG211" s="649">
        <f t="shared" si="119"/>
        <v>0</v>
      </c>
      <c r="AH211" s="650"/>
      <c r="AI211" s="649">
        <f t="shared" si="120"/>
        <v>0</v>
      </c>
      <c r="AJ211" s="650"/>
      <c r="AK211" s="649">
        <f t="shared" si="121"/>
        <v>0</v>
      </c>
      <c r="AL211" s="650"/>
      <c r="AM211" s="649">
        <f t="shared" si="122"/>
        <v>0</v>
      </c>
      <c r="AN211" s="650"/>
      <c r="AO211" s="649">
        <f t="shared" si="123"/>
        <v>0</v>
      </c>
      <c r="AP211" s="650"/>
      <c r="AQ211" s="649">
        <f t="shared" si="124"/>
        <v>0</v>
      </c>
      <c r="AR211" s="650"/>
      <c r="AS211" s="651">
        <f t="shared" si="125"/>
        <v>0</v>
      </c>
      <c r="AT211" s="652"/>
      <c r="AU211" s="141">
        <f t="shared" si="138"/>
        <v>0</v>
      </c>
      <c r="AV211" s="141">
        <f t="shared" si="139"/>
        <v>0</v>
      </c>
      <c r="AW211" s="141">
        <f t="shared" si="140"/>
        <v>0</v>
      </c>
      <c r="AX211" s="141">
        <f t="shared" si="141"/>
        <v>0</v>
      </c>
      <c r="AY211" s="141">
        <f t="shared" si="142"/>
        <v>0</v>
      </c>
      <c r="AZ211" s="141">
        <f t="shared" si="143"/>
        <v>0</v>
      </c>
      <c r="BA211" s="141">
        <f t="shared" si="144"/>
        <v>0</v>
      </c>
      <c r="BB211" s="141">
        <f t="shared" si="145"/>
        <v>0</v>
      </c>
      <c r="BC211" s="141">
        <f t="shared" si="146"/>
        <v>0</v>
      </c>
      <c r="BD211" s="141">
        <f t="shared" si="147"/>
        <v>0</v>
      </c>
      <c r="BE211" s="141">
        <f t="shared" si="148"/>
        <v>0</v>
      </c>
      <c r="BF211" s="141">
        <f t="shared" si="149"/>
        <v>0</v>
      </c>
      <c r="BG211" s="141">
        <f t="shared" si="126"/>
        <v>0</v>
      </c>
      <c r="BH211" s="141">
        <f t="shared" si="127"/>
        <v>0</v>
      </c>
      <c r="BI211" s="141">
        <f t="shared" si="150"/>
        <v>0</v>
      </c>
      <c r="BJ211" s="147">
        <f t="shared" si="128"/>
        <v>0</v>
      </c>
      <c r="BK211" s="141">
        <f t="shared" si="129"/>
        <v>0</v>
      </c>
      <c r="BL211" s="141">
        <f t="shared" si="130"/>
        <v>0</v>
      </c>
      <c r="BM211" s="141">
        <f t="shared" si="131"/>
        <v>0</v>
      </c>
      <c r="BN211" s="141">
        <f t="shared" si="132"/>
        <v>0</v>
      </c>
      <c r="BO211" s="141">
        <f t="shared" si="133"/>
        <v>0</v>
      </c>
      <c r="BP211" s="141">
        <f t="shared" si="134"/>
        <v>0</v>
      </c>
      <c r="BT211" s="177"/>
      <c r="BU211" s="173"/>
      <c r="BV211" s="174"/>
      <c r="BW211" s="117"/>
      <c r="BX211" s="180"/>
      <c r="BY211" s="117"/>
      <c r="BZ211" s="181"/>
      <c r="CA211" s="182"/>
      <c r="CB211" s="176"/>
      <c r="CC211" s="176"/>
      <c r="CF211" s="170"/>
      <c r="CG211" s="171"/>
      <c r="CH211" s="170"/>
      <c r="CI211" s="171"/>
    </row>
    <row r="212" spans="2:87" s="108" customFormat="1" ht="15" hidden="1" customHeight="1">
      <c r="B212" s="109"/>
      <c r="C212" s="141" t="e">
        <f t="shared" si="152"/>
        <v>#NUM!</v>
      </c>
      <c r="D212" s="141">
        <f t="shared" si="111"/>
        <v>0</v>
      </c>
      <c r="E212" s="141"/>
      <c r="F212" s="142">
        <f t="shared" si="135"/>
        <v>0</v>
      </c>
      <c r="G212" s="143" t="s">
        <v>146</v>
      </c>
      <c r="H212" s="80">
        <f t="shared" si="112"/>
        <v>0</v>
      </c>
      <c r="I212" s="80" t="str">
        <f t="shared" si="136"/>
        <v/>
      </c>
      <c r="J212" s="144"/>
      <c r="K212" s="144"/>
      <c r="L212" s="144"/>
      <c r="M212" s="76"/>
      <c r="N212" s="77"/>
      <c r="O212" s="145"/>
      <c r="P212" s="77">
        <f t="shared" si="137"/>
        <v>0</v>
      </c>
      <c r="Q212" s="78"/>
      <c r="R212" s="79"/>
      <c r="S212" s="146">
        <f t="shared" si="153"/>
        <v>0</v>
      </c>
      <c r="T212" s="141" t="b">
        <f t="shared" si="151"/>
        <v>0</v>
      </c>
      <c r="U212" s="649">
        <f t="shared" si="113"/>
        <v>0</v>
      </c>
      <c r="V212" s="650"/>
      <c r="W212" s="649">
        <f t="shared" si="114"/>
        <v>0</v>
      </c>
      <c r="X212" s="650"/>
      <c r="Y212" s="649">
        <f t="shared" si="115"/>
        <v>0</v>
      </c>
      <c r="Z212" s="650"/>
      <c r="AA212" s="649">
        <f t="shared" si="116"/>
        <v>0</v>
      </c>
      <c r="AB212" s="650"/>
      <c r="AC212" s="649">
        <f t="shared" si="117"/>
        <v>0</v>
      </c>
      <c r="AD212" s="650"/>
      <c r="AE212" s="649">
        <f t="shared" si="118"/>
        <v>0</v>
      </c>
      <c r="AF212" s="650"/>
      <c r="AG212" s="649">
        <f t="shared" si="119"/>
        <v>0</v>
      </c>
      <c r="AH212" s="650"/>
      <c r="AI212" s="649">
        <f t="shared" si="120"/>
        <v>0</v>
      </c>
      <c r="AJ212" s="650"/>
      <c r="AK212" s="649">
        <f t="shared" si="121"/>
        <v>0</v>
      </c>
      <c r="AL212" s="650"/>
      <c r="AM212" s="649">
        <f t="shared" si="122"/>
        <v>0</v>
      </c>
      <c r="AN212" s="650"/>
      <c r="AO212" s="649">
        <f t="shared" si="123"/>
        <v>0</v>
      </c>
      <c r="AP212" s="650"/>
      <c r="AQ212" s="649">
        <f t="shared" si="124"/>
        <v>0</v>
      </c>
      <c r="AR212" s="650"/>
      <c r="AS212" s="651">
        <f t="shared" si="125"/>
        <v>0</v>
      </c>
      <c r="AT212" s="652"/>
      <c r="AU212" s="141">
        <f t="shared" si="138"/>
        <v>0</v>
      </c>
      <c r="AV212" s="141">
        <f t="shared" si="139"/>
        <v>0</v>
      </c>
      <c r="AW212" s="141">
        <f t="shared" si="140"/>
        <v>0</v>
      </c>
      <c r="AX212" s="141">
        <f t="shared" si="141"/>
        <v>0</v>
      </c>
      <c r="AY212" s="141">
        <f t="shared" si="142"/>
        <v>0</v>
      </c>
      <c r="AZ212" s="141">
        <f t="shared" si="143"/>
        <v>0</v>
      </c>
      <c r="BA212" s="141">
        <f t="shared" si="144"/>
        <v>0</v>
      </c>
      <c r="BB212" s="141">
        <f t="shared" si="145"/>
        <v>0</v>
      </c>
      <c r="BC212" s="141">
        <f t="shared" si="146"/>
        <v>0</v>
      </c>
      <c r="BD212" s="141">
        <f t="shared" si="147"/>
        <v>0</v>
      </c>
      <c r="BE212" s="141">
        <f t="shared" si="148"/>
        <v>0</v>
      </c>
      <c r="BF212" s="141">
        <f t="shared" si="149"/>
        <v>0</v>
      </c>
      <c r="BG212" s="141">
        <f t="shared" si="126"/>
        <v>0</v>
      </c>
      <c r="BH212" s="141">
        <f t="shared" si="127"/>
        <v>0</v>
      </c>
      <c r="BI212" s="141">
        <f t="shared" si="150"/>
        <v>0</v>
      </c>
      <c r="BJ212" s="147">
        <f t="shared" si="128"/>
        <v>0</v>
      </c>
      <c r="BK212" s="141">
        <f t="shared" si="129"/>
        <v>0</v>
      </c>
      <c r="BL212" s="141">
        <f t="shared" si="130"/>
        <v>0</v>
      </c>
      <c r="BM212" s="141">
        <f t="shared" si="131"/>
        <v>0</v>
      </c>
      <c r="BN212" s="141">
        <f t="shared" si="132"/>
        <v>0</v>
      </c>
      <c r="BO212" s="141">
        <f t="shared" si="133"/>
        <v>0</v>
      </c>
      <c r="BP212" s="141">
        <f t="shared" si="134"/>
        <v>0</v>
      </c>
      <c r="BT212" s="177"/>
      <c r="BU212" s="173"/>
      <c r="BV212" s="174"/>
      <c r="BW212" s="117"/>
      <c r="BX212" s="180"/>
      <c r="BY212" s="117"/>
      <c r="BZ212" s="181"/>
      <c r="CA212" s="182"/>
      <c r="CB212" s="176"/>
      <c r="CC212" s="176"/>
      <c r="CF212" s="170"/>
      <c r="CG212" s="171"/>
      <c r="CH212" s="170"/>
      <c r="CI212" s="171"/>
    </row>
    <row r="213" spans="2:87" s="108" customFormat="1" ht="15" hidden="1" customHeight="1">
      <c r="B213" s="109"/>
      <c r="C213" s="141" t="e">
        <f t="shared" si="152"/>
        <v>#NUM!</v>
      </c>
      <c r="D213" s="141">
        <f t="shared" si="111"/>
        <v>0</v>
      </c>
      <c r="E213" s="141" t="str">
        <f>IFERROR(DGET($BV$30:$CC$82,F213,G212:G213),"")</f>
        <v/>
      </c>
      <c r="F213" s="142">
        <f t="shared" si="135"/>
        <v>0</v>
      </c>
      <c r="G213" s="142" t="b">
        <f>IF(Q213&gt;0,IF(AND(S213&gt;0,S213&lt;2),CONCATENATE(Q213," ","0-2"),IF(AND(S213&gt;=2,S213&lt;8),CONCATENATE(Q213," ","2-8"),)))</f>
        <v>0</v>
      </c>
      <c r="H213" s="80">
        <f t="shared" si="112"/>
        <v>0</v>
      </c>
      <c r="I213" s="80" t="str">
        <f t="shared" si="136"/>
        <v/>
      </c>
      <c r="J213" s="76"/>
      <c r="K213" s="76"/>
      <c r="L213" s="76"/>
      <c r="M213" s="80"/>
      <c r="N213" s="79"/>
      <c r="O213" s="148"/>
      <c r="P213" s="77">
        <f t="shared" si="137"/>
        <v>0</v>
      </c>
      <c r="Q213" s="81"/>
      <c r="R213" s="77"/>
      <c r="S213" s="146">
        <f t="shared" si="153"/>
        <v>0</v>
      </c>
      <c r="T213" s="141" t="b">
        <f t="shared" si="151"/>
        <v>0</v>
      </c>
      <c r="U213" s="649">
        <f t="shared" si="113"/>
        <v>0</v>
      </c>
      <c r="V213" s="650"/>
      <c r="W213" s="649">
        <f t="shared" si="114"/>
        <v>0</v>
      </c>
      <c r="X213" s="650"/>
      <c r="Y213" s="649">
        <f t="shared" si="115"/>
        <v>0</v>
      </c>
      <c r="Z213" s="650"/>
      <c r="AA213" s="649">
        <f t="shared" si="116"/>
        <v>0</v>
      </c>
      <c r="AB213" s="650"/>
      <c r="AC213" s="649">
        <f t="shared" si="117"/>
        <v>0</v>
      </c>
      <c r="AD213" s="650"/>
      <c r="AE213" s="649">
        <f t="shared" si="118"/>
        <v>0</v>
      </c>
      <c r="AF213" s="650"/>
      <c r="AG213" s="649">
        <f t="shared" si="119"/>
        <v>0</v>
      </c>
      <c r="AH213" s="650"/>
      <c r="AI213" s="649">
        <f t="shared" si="120"/>
        <v>0</v>
      </c>
      <c r="AJ213" s="650"/>
      <c r="AK213" s="649">
        <f t="shared" si="121"/>
        <v>0</v>
      </c>
      <c r="AL213" s="650"/>
      <c r="AM213" s="649">
        <f t="shared" si="122"/>
        <v>0</v>
      </c>
      <c r="AN213" s="650"/>
      <c r="AO213" s="649">
        <f t="shared" si="123"/>
        <v>0</v>
      </c>
      <c r="AP213" s="650"/>
      <c r="AQ213" s="649">
        <f t="shared" si="124"/>
        <v>0</v>
      </c>
      <c r="AR213" s="650"/>
      <c r="AS213" s="651">
        <f t="shared" si="125"/>
        <v>0</v>
      </c>
      <c r="AT213" s="652"/>
      <c r="AU213" s="141">
        <f t="shared" si="138"/>
        <v>0</v>
      </c>
      <c r="AV213" s="141">
        <f t="shared" si="139"/>
        <v>0</v>
      </c>
      <c r="AW213" s="141">
        <f t="shared" si="140"/>
        <v>0</v>
      </c>
      <c r="AX213" s="141">
        <f t="shared" si="141"/>
        <v>0</v>
      </c>
      <c r="AY213" s="141">
        <f t="shared" si="142"/>
        <v>0</v>
      </c>
      <c r="AZ213" s="141">
        <f t="shared" si="143"/>
        <v>0</v>
      </c>
      <c r="BA213" s="141">
        <f t="shared" si="144"/>
        <v>0</v>
      </c>
      <c r="BB213" s="141">
        <f t="shared" si="145"/>
        <v>0</v>
      </c>
      <c r="BC213" s="141">
        <f t="shared" si="146"/>
        <v>0</v>
      </c>
      <c r="BD213" s="141">
        <f t="shared" si="147"/>
        <v>0</v>
      </c>
      <c r="BE213" s="141">
        <f t="shared" si="148"/>
        <v>0</v>
      </c>
      <c r="BF213" s="141">
        <f t="shared" si="149"/>
        <v>0</v>
      </c>
      <c r="BG213" s="141">
        <f t="shared" si="126"/>
        <v>0</v>
      </c>
      <c r="BH213" s="141">
        <f t="shared" si="127"/>
        <v>0</v>
      </c>
      <c r="BI213" s="141">
        <f t="shared" si="150"/>
        <v>0</v>
      </c>
      <c r="BJ213" s="147">
        <f t="shared" si="128"/>
        <v>0</v>
      </c>
      <c r="BK213" s="141">
        <f t="shared" si="129"/>
        <v>0</v>
      </c>
      <c r="BL213" s="141">
        <f t="shared" si="130"/>
        <v>0</v>
      </c>
      <c r="BM213" s="141">
        <f t="shared" si="131"/>
        <v>0</v>
      </c>
      <c r="BN213" s="141">
        <f t="shared" si="132"/>
        <v>0</v>
      </c>
      <c r="BO213" s="141">
        <f t="shared" si="133"/>
        <v>0</v>
      </c>
      <c r="BP213" s="141">
        <f t="shared" si="134"/>
        <v>0</v>
      </c>
      <c r="BT213" s="177"/>
      <c r="BU213" s="173"/>
      <c r="BV213" s="174"/>
      <c r="BW213" s="117"/>
      <c r="BX213" s="180"/>
      <c r="BY213" s="117"/>
      <c r="BZ213" s="181"/>
      <c r="CA213" s="182"/>
      <c r="CB213" s="176"/>
      <c r="CC213" s="176"/>
      <c r="CF213" s="170"/>
      <c r="CG213" s="171"/>
      <c r="CH213" s="170"/>
      <c r="CI213" s="171"/>
    </row>
    <row r="214" spans="2:87" s="108" customFormat="1" ht="15" hidden="1" customHeight="1">
      <c r="B214" s="109"/>
      <c r="C214" s="141" t="e">
        <f t="shared" si="152"/>
        <v>#NUM!</v>
      </c>
      <c r="D214" s="141">
        <f t="shared" si="111"/>
        <v>0</v>
      </c>
      <c r="E214" s="141"/>
      <c r="F214" s="142">
        <f t="shared" si="135"/>
        <v>0</v>
      </c>
      <c r="G214" s="143" t="s">
        <v>146</v>
      </c>
      <c r="H214" s="80">
        <f t="shared" si="112"/>
        <v>0</v>
      </c>
      <c r="I214" s="80" t="str">
        <f t="shared" si="136"/>
        <v/>
      </c>
      <c r="J214" s="144"/>
      <c r="K214" s="144"/>
      <c r="L214" s="144"/>
      <c r="M214" s="76"/>
      <c r="N214" s="77"/>
      <c r="O214" s="145"/>
      <c r="P214" s="77">
        <f t="shared" si="137"/>
        <v>0</v>
      </c>
      <c r="Q214" s="78"/>
      <c r="R214" s="79"/>
      <c r="S214" s="146">
        <f t="shared" si="153"/>
        <v>0</v>
      </c>
      <c r="T214" s="141" t="b">
        <f t="shared" si="151"/>
        <v>0</v>
      </c>
      <c r="U214" s="649">
        <f t="shared" si="113"/>
        <v>0</v>
      </c>
      <c r="V214" s="650"/>
      <c r="W214" s="649">
        <f t="shared" si="114"/>
        <v>0</v>
      </c>
      <c r="X214" s="650"/>
      <c r="Y214" s="649">
        <f t="shared" si="115"/>
        <v>0</v>
      </c>
      <c r="Z214" s="650"/>
      <c r="AA214" s="649">
        <f t="shared" si="116"/>
        <v>0</v>
      </c>
      <c r="AB214" s="650"/>
      <c r="AC214" s="649">
        <f t="shared" si="117"/>
        <v>0</v>
      </c>
      <c r="AD214" s="650"/>
      <c r="AE214" s="649">
        <f t="shared" si="118"/>
        <v>0</v>
      </c>
      <c r="AF214" s="650"/>
      <c r="AG214" s="649">
        <f t="shared" si="119"/>
        <v>0</v>
      </c>
      <c r="AH214" s="650"/>
      <c r="AI214" s="649">
        <f t="shared" si="120"/>
        <v>0</v>
      </c>
      <c r="AJ214" s="650"/>
      <c r="AK214" s="649">
        <f t="shared" si="121"/>
        <v>0</v>
      </c>
      <c r="AL214" s="650"/>
      <c r="AM214" s="649">
        <f t="shared" si="122"/>
        <v>0</v>
      </c>
      <c r="AN214" s="650"/>
      <c r="AO214" s="649">
        <f t="shared" si="123"/>
        <v>0</v>
      </c>
      <c r="AP214" s="650"/>
      <c r="AQ214" s="649">
        <f t="shared" si="124"/>
        <v>0</v>
      </c>
      <c r="AR214" s="650"/>
      <c r="AS214" s="651">
        <f t="shared" si="125"/>
        <v>0</v>
      </c>
      <c r="AT214" s="652"/>
      <c r="AU214" s="141">
        <f t="shared" si="138"/>
        <v>0</v>
      </c>
      <c r="AV214" s="141">
        <f t="shared" si="139"/>
        <v>0</v>
      </c>
      <c r="AW214" s="141">
        <f t="shared" si="140"/>
        <v>0</v>
      </c>
      <c r="AX214" s="141">
        <f t="shared" si="141"/>
        <v>0</v>
      </c>
      <c r="AY214" s="141">
        <f t="shared" si="142"/>
        <v>0</v>
      </c>
      <c r="AZ214" s="141">
        <f t="shared" si="143"/>
        <v>0</v>
      </c>
      <c r="BA214" s="141">
        <f t="shared" si="144"/>
        <v>0</v>
      </c>
      <c r="BB214" s="141">
        <f t="shared" si="145"/>
        <v>0</v>
      </c>
      <c r="BC214" s="141">
        <f t="shared" si="146"/>
        <v>0</v>
      </c>
      <c r="BD214" s="141">
        <f t="shared" si="147"/>
        <v>0</v>
      </c>
      <c r="BE214" s="141">
        <f t="shared" si="148"/>
        <v>0</v>
      </c>
      <c r="BF214" s="141">
        <f t="shared" si="149"/>
        <v>0</v>
      </c>
      <c r="BG214" s="141">
        <f t="shared" si="126"/>
        <v>0</v>
      </c>
      <c r="BH214" s="141">
        <f t="shared" si="127"/>
        <v>0</v>
      </c>
      <c r="BI214" s="141">
        <f t="shared" si="150"/>
        <v>0</v>
      </c>
      <c r="BJ214" s="147">
        <f t="shared" si="128"/>
        <v>0</v>
      </c>
      <c r="BK214" s="141">
        <f t="shared" si="129"/>
        <v>0</v>
      </c>
      <c r="BL214" s="141">
        <f t="shared" si="130"/>
        <v>0</v>
      </c>
      <c r="BM214" s="141">
        <f t="shared" si="131"/>
        <v>0</v>
      </c>
      <c r="BN214" s="141">
        <f t="shared" si="132"/>
        <v>0</v>
      </c>
      <c r="BO214" s="141">
        <f t="shared" si="133"/>
        <v>0</v>
      </c>
      <c r="BP214" s="141">
        <f t="shared" si="134"/>
        <v>0</v>
      </c>
      <c r="BT214" s="177"/>
      <c r="BU214" s="173"/>
      <c r="BV214" s="174"/>
      <c r="BW214" s="117"/>
      <c r="BX214" s="180"/>
      <c r="BY214" s="117"/>
      <c r="BZ214" s="181"/>
      <c r="CA214" s="182"/>
      <c r="CB214" s="176"/>
      <c r="CC214" s="176"/>
      <c r="CF214" s="170"/>
      <c r="CG214" s="171"/>
      <c r="CH214" s="170"/>
      <c r="CI214" s="171"/>
    </row>
    <row r="215" spans="2:87" s="108" customFormat="1" ht="15" hidden="1" customHeight="1">
      <c r="B215" s="109"/>
      <c r="C215" s="141" t="e">
        <f t="shared" si="152"/>
        <v>#NUM!</v>
      </c>
      <c r="D215" s="141">
        <f t="shared" si="111"/>
        <v>0</v>
      </c>
      <c r="E215" s="141" t="str">
        <f>IFERROR(DGET($BV$30:$CC$82,F215,G214:G215),"")</f>
        <v/>
      </c>
      <c r="F215" s="142">
        <f t="shared" si="135"/>
        <v>0</v>
      </c>
      <c r="G215" s="142" t="b">
        <f>IF(Q215&gt;0,IF(AND(S215&gt;0,S215&lt;2),CONCATENATE(Q215," ","0-2"),IF(AND(S215&gt;=2,S215&lt;8),CONCATENATE(Q215," ","2-8"),)))</f>
        <v>0</v>
      </c>
      <c r="H215" s="80">
        <f t="shared" si="112"/>
        <v>0</v>
      </c>
      <c r="I215" s="80" t="str">
        <f t="shared" si="136"/>
        <v/>
      </c>
      <c r="J215" s="76"/>
      <c r="K215" s="76"/>
      <c r="L215" s="76"/>
      <c r="M215" s="80"/>
      <c r="N215" s="79"/>
      <c r="O215" s="148"/>
      <c r="P215" s="77">
        <f t="shared" si="137"/>
        <v>0</v>
      </c>
      <c r="Q215" s="81"/>
      <c r="R215" s="77"/>
      <c r="S215" s="146">
        <f t="shared" si="153"/>
        <v>0</v>
      </c>
      <c r="T215" s="141" t="b">
        <f t="shared" si="151"/>
        <v>0</v>
      </c>
      <c r="U215" s="649">
        <f t="shared" si="113"/>
        <v>0</v>
      </c>
      <c r="V215" s="650"/>
      <c r="W215" s="649">
        <f t="shared" si="114"/>
        <v>0</v>
      </c>
      <c r="X215" s="650"/>
      <c r="Y215" s="649">
        <f t="shared" si="115"/>
        <v>0</v>
      </c>
      <c r="Z215" s="650"/>
      <c r="AA215" s="649">
        <f t="shared" si="116"/>
        <v>0</v>
      </c>
      <c r="AB215" s="650"/>
      <c r="AC215" s="649">
        <f t="shared" si="117"/>
        <v>0</v>
      </c>
      <c r="AD215" s="650"/>
      <c r="AE215" s="649">
        <f t="shared" si="118"/>
        <v>0</v>
      </c>
      <c r="AF215" s="650"/>
      <c r="AG215" s="649">
        <f t="shared" si="119"/>
        <v>0</v>
      </c>
      <c r="AH215" s="650"/>
      <c r="AI215" s="649">
        <f t="shared" si="120"/>
        <v>0</v>
      </c>
      <c r="AJ215" s="650"/>
      <c r="AK215" s="649">
        <f t="shared" si="121"/>
        <v>0</v>
      </c>
      <c r="AL215" s="650"/>
      <c r="AM215" s="649">
        <f t="shared" si="122"/>
        <v>0</v>
      </c>
      <c r="AN215" s="650"/>
      <c r="AO215" s="649">
        <f t="shared" si="123"/>
        <v>0</v>
      </c>
      <c r="AP215" s="650"/>
      <c r="AQ215" s="649">
        <f t="shared" si="124"/>
        <v>0</v>
      </c>
      <c r="AR215" s="650"/>
      <c r="AS215" s="651">
        <f t="shared" si="125"/>
        <v>0</v>
      </c>
      <c r="AT215" s="652"/>
      <c r="AU215" s="141">
        <f t="shared" si="138"/>
        <v>0</v>
      </c>
      <c r="AV215" s="141">
        <f t="shared" si="139"/>
        <v>0</v>
      </c>
      <c r="AW215" s="141">
        <f t="shared" si="140"/>
        <v>0</v>
      </c>
      <c r="AX215" s="141">
        <f t="shared" si="141"/>
        <v>0</v>
      </c>
      <c r="AY215" s="141">
        <f t="shared" si="142"/>
        <v>0</v>
      </c>
      <c r="AZ215" s="141">
        <f t="shared" si="143"/>
        <v>0</v>
      </c>
      <c r="BA215" s="141">
        <f t="shared" si="144"/>
        <v>0</v>
      </c>
      <c r="BB215" s="141">
        <f t="shared" si="145"/>
        <v>0</v>
      </c>
      <c r="BC215" s="141">
        <f t="shared" si="146"/>
        <v>0</v>
      </c>
      <c r="BD215" s="141">
        <f t="shared" si="147"/>
        <v>0</v>
      </c>
      <c r="BE215" s="141">
        <f t="shared" si="148"/>
        <v>0</v>
      </c>
      <c r="BF215" s="141">
        <f t="shared" si="149"/>
        <v>0</v>
      </c>
      <c r="BG215" s="141">
        <f t="shared" si="126"/>
        <v>0</v>
      </c>
      <c r="BH215" s="141">
        <f t="shared" si="127"/>
        <v>0</v>
      </c>
      <c r="BI215" s="141">
        <f t="shared" si="150"/>
        <v>0</v>
      </c>
      <c r="BJ215" s="147">
        <f t="shared" si="128"/>
        <v>0</v>
      </c>
      <c r="BK215" s="141">
        <f t="shared" si="129"/>
        <v>0</v>
      </c>
      <c r="BL215" s="141">
        <f t="shared" si="130"/>
        <v>0</v>
      </c>
      <c r="BM215" s="141">
        <f t="shared" si="131"/>
        <v>0</v>
      </c>
      <c r="BN215" s="141">
        <f t="shared" si="132"/>
        <v>0</v>
      </c>
      <c r="BO215" s="141">
        <f t="shared" si="133"/>
        <v>0</v>
      </c>
      <c r="BP215" s="141">
        <f t="shared" si="134"/>
        <v>0</v>
      </c>
      <c r="BT215" s="177"/>
      <c r="BU215" s="173"/>
      <c r="BV215" s="174"/>
      <c r="BW215" s="117"/>
      <c r="BX215" s="180"/>
      <c r="BY215" s="117"/>
      <c r="BZ215" s="181"/>
      <c r="CA215" s="182"/>
      <c r="CB215" s="176"/>
      <c r="CC215" s="176"/>
      <c r="CF215" s="170"/>
      <c r="CG215" s="171"/>
      <c r="CH215" s="170"/>
      <c r="CI215" s="171"/>
    </row>
    <row r="216" spans="2:87" s="108" customFormat="1" ht="15" hidden="1" customHeight="1">
      <c r="B216" s="109"/>
      <c r="C216" s="141" t="e">
        <f t="shared" si="152"/>
        <v>#NUM!</v>
      </c>
      <c r="D216" s="141">
        <f t="shared" si="111"/>
        <v>0</v>
      </c>
      <c r="E216" s="141"/>
      <c r="F216" s="142">
        <f t="shared" si="135"/>
        <v>0</v>
      </c>
      <c r="G216" s="143" t="s">
        <v>146</v>
      </c>
      <c r="H216" s="80">
        <f t="shared" si="112"/>
        <v>0</v>
      </c>
      <c r="I216" s="80" t="str">
        <f t="shared" si="136"/>
        <v/>
      </c>
      <c r="J216" s="144"/>
      <c r="K216" s="144"/>
      <c r="L216" s="144"/>
      <c r="M216" s="76"/>
      <c r="N216" s="77"/>
      <c r="O216" s="145"/>
      <c r="P216" s="77">
        <f t="shared" si="137"/>
        <v>0</v>
      </c>
      <c r="Q216" s="78"/>
      <c r="R216" s="79"/>
      <c r="S216" s="146">
        <f t="shared" si="153"/>
        <v>0</v>
      </c>
      <c r="T216" s="141" t="b">
        <f t="shared" si="151"/>
        <v>0</v>
      </c>
      <c r="U216" s="649">
        <f t="shared" si="113"/>
        <v>0</v>
      </c>
      <c r="V216" s="650"/>
      <c r="W216" s="649">
        <f t="shared" si="114"/>
        <v>0</v>
      </c>
      <c r="X216" s="650"/>
      <c r="Y216" s="649">
        <f t="shared" si="115"/>
        <v>0</v>
      </c>
      <c r="Z216" s="650"/>
      <c r="AA216" s="649">
        <f t="shared" si="116"/>
        <v>0</v>
      </c>
      <c r="AB216" s="650"/>
      <c r="AC216" s="649">
        <f t="shared" si="117"/>
        <v>0</v>
      </c>
      <c r="AD216" s="650"/>
      <c r="AE216" s="649">
        <f t="shared" si="118"/>
        <v>0</v>
      </c>
      <c r="AF216" s="650"/>
      <c r="AG216" s="649">
        <f t="shared" si="119"/>
        <v>0</v>
      </c>
      <c r="AH216" s="650"/>
      <c r="AI216" s="649">
        <f t="shared" si="120"/>
        <v>0</v>
      </c>
      <c r="AJ216" s="650"/>
      <c r="AK216" s="649">
        <f t="shared" si="121"/>
        <v>0</v>
      </c>
      <c r="AL216" s="650"/>
      <c r="AM216" s="649">
        <f t="shared" si="122"/>
        <v>0</v>
      </c>
      <c r="AN216" s="650"/>
      <c r="AO216" s="649">
        <f t="shared" si="123"/>
        <v>0</v>
      </c>
      <c r="AP216" s="650"/>
      <c r="AQ216" s="649">
        <f t="shared" si="124"/>
        <v>0</v>
      </c>
      <c r="AR216" s="650"/>
      <c r="AS216" s="651">
        <f t="shared" si="125"/>
        <v>0</v>
      </c>
      <c r="AT216" s="652"/>
      <c r="AU216" s="141">
        <f t="shared" si="138"/>
        <v>0</v>
      </c>
      <c r="AV216" s="141">
        <f t="shared" si="139"/>
        <v>0</v>
      </c>
      <c r="AW216" s="141">
        <f t="shared" si="140"/>
        <v>0</v>
      </c>
      <c r="AX216" s="141">
        <f t="shared" si="141"/>
        <v>0</v>
      </c>
      <c r="AY216" s="141">
        <f t="shared" si="142"/>
        <v>0</v>
      </c>
      <c r="AZ216" s="141">
        <f t="shared" si="143"/>
        <v>0</v>
      </c>
      <c r="BA216" s="141">
        <f t="shared" si="144"/>
        <v>0</v>
      </c>
      <c r="BB216" s="141">
        <f t="shared" si="145"/>
        <v>0</v>
      </c>
      <c r="BC216" s="141">
        <f t="shared" si="146"/>
        <v>0</v>
      </c>
      <c r="BD216" s="141">
        <f t="shared" si="147"/>
        <v>0</v>
      </c>
      <c r="BE216" s="141">
        <f t="shared" si="148"/>
        <v>0</v>
      </c>
      <c r="BF216" s="141">
        <f t="shared" si="149"/>
        <v>0</v>
      </c>
      <c r="BG216" s="141">
        <f t="shared" si="126"/>
        <v>0</v>
      </c>
      <c r="BH216" s="141">
        <f t="shared" si="127"/>
        <v>0</v>
      </c>
      <c r="BI216" s="141">
        <f t="shared" si="150"/>
        <v>0</v>
      </c>
      <c r="BJ216" s="147">
        <f t="shared" si="128"/>
        <v>0</v>
      </c>
      <c r="BK216" s="141">
        <f t="shared" si="129"/>
        <v>0</v>
      </c>
      <c r="BL216" s="141">
        <f t="shared" si="130"/>
        <v>0</v>
      </c>
      <c r="BM216" s="141">
        <f t="shared" si="131"/>
        <v>0</v>
      </c>
      <c r="BN216" s="141">
        <f t="shared" si="132"/>
        <v>0</v>
      </c>
      <c r="BO216" s="141">
        <f t="shared" si="133"/>
        <v>0</v>
      </c>
      <c r="BP216" s="141">
        <f t="shared" si="134"/>
        <v>0</v>
      </c>
      <c r="BT216" s="177"/>
      <c r="BU216" s="173"/>
      <c r="BV216" s="174"/>
      <c r="BW216" s="117"/>
      <c r="BX216" s="180"/>
      <c r="BY216" s="117"/>
      <c r="BZ216" s="181"/>
      <c r="CA216" s="182"/>
      <c r="CB216" s="176"/>
      <c r="CC216" s="176"/>
      <c r="CF216" s="170"/>
      <c r="CG216" s="171"/>
      <c r="CH216" s="170"/>
      <c r="CI216" s="171"/>
    </row>
    <row r="217" spans="2:87" s="108" customFormat="1" ht="15" hidden="1" customHeight="1">
      <c r="B217" s="109"/>
      <c r="C217" s="141" t="e">
        <f t="shared" si="152"/>
        <v>#NUM!</v>
      </c>
      <c r="D217" s="141">
        <f t="shared" si="111"/>
        <v>0</v>
      </c>
      <c r="E217" s="141" t="str">
        <f>IFERROR(DGET($BV$30:$CC$82,F217,G216:G217),"")</f>
        <v/>
      </c>
      <c r="F217" s="142">
        <f t="shared" si="135"/>
        <v>0</v>
      </c>
      <c r="G217" s="142" t="b">
        <f>IF(Q217&gt;0,IF(AND(S217&gt;0,S217&lt;2),CONCATENATE(Q217," ","0-2"),IF(AND(S217&gt;=2,S217&lt;8),CONCATENATE(Q217," ","2-8"),)))</f>
        <v>0</v>
      </c>
      <c r="H217" s="80">
        <f t="shared" si="112"/>
        <v>0</v>
      </c>
      <c r="I217" s="80" t="str">
        <f t="shared" si="136"/>
        <v/>
      </c>
      <c r="J217" s="76"/>
      <c r="K217" s="76"/>
      <c r="L217" s="76"/>
      <c r="M217" s="80"/>
      <c r="N217" s="79"/>
      <c r="O217" s="148"/>
      <c r="P217" s="77">
        <f t="shared" si="137"/>
        <v>0</v>
      </c>
      <c r="Q217" s="81"/>
      <c r="R217" s="77"/>
      <c r="S217" s="146">
        <f t="shared" si="153"/>
        <v>0</v>
      </c>
      <c r="T217" s="141" t="b">
        <f t="shared" si="151"/>
        <v>0</v>
      </c>
      <c r="U217" s="649">
        <f t="shared" si="113"/>
        <v>0</v>
      </c>
      <c r="V217" s="650"/>
      <c r="W217" s="649">
        <f t="shared" si="114"/>
        <v>0</v>
      </c>
      <c r="X217" s="650"/>
      <c r="Y217" s="649">
        <f t="shared" si="115"/>
        <v>0</v>
      </c>
      <c r="Z217" s="650"/>
      <c r="AA217" s="649">
        <f t="shared" si="116"/>
        <v>0</v>
      </c>
      <c r="AB217" s="650"/>
      <c r="AC217" s="649">
        <f t="shared" si="117"/>
        <v>0</v>
      </c>
      <c r="AD217" s="650"/>
      <c r="AE217" s="649">
        <f t="shared" si="118"/>
        <v>0</v>
      </c>
      <c r="AF217" s="650"/>
      <c r="AG217" s="649">
        <f t="shared" si="119"/>
        <v>0</v>
      </c>
      <c r="AH217" s="650"/>
      <c r="AI217" s="649">
        <f t="shared" si="120"/>
        <v>0</v>
      </c>
      <c r="AJ217" s="650"/>
      <c r="AK217" s="649">
        <f t="shared" si="121"/>
        <v>0</v>
      </c>
      <c r="AL217" s="650"/>
      <c r="AM217" s="649">
        <f t="shared" si="122"/>
        <v>0</v>
      </c>
      <c r="AN217" s="650"/>
      <c r="AO217" s="649">
        <f t="shared" si="123"/>
        <v>0</v>
      </c>
      <c r="AP217" s="650"/>
      <c r="AQ217" s="649">
        <f t="shared" si="124"/>
        <v>0</v>
      </c>
      <c r="AR217" s="650"/>
      <c r="AS217" s="651">
        <f t="shared" si="125"/>
        <v>0</v>
      </c>
      <c r="AT217" s="652"/>
      <c r="AU217" s="141">
        <f t="shared" si="138"/>
        <v>0</v>
      </c>
      <c r="AV217" s="141">
        <f t="shared" si="139"/>
        <v>0</v>
      </c>
      <c r="AW217" s="141">
        <f t="shared" si="140"/>
        <v>0</v>
      </c>
      <c r="AX217" s="141">
        <f t="shared" si="141"/>
        <v>0</v>
      </c>
      <c r="AY217" s="141">
        <f t="shared" si="142"/>
        <v>0</v>
      </c>
      <c r="AZ217" s="141">
        <f t="shared" si="143"/>
        <v>0</v>
      </c>
      <c r="BA217" s="141">
        <f t="shared" si="144"/>
        <v>0</v>
      </c>
      <c r="BB217" s="141">
        <f t="shared" si="145"/>
        <v>0</v>
      </c>
      <c r="BC217" s="141">
        <f t="shared" si="146"/>
        <v>0</v>
      </c>
      <c r="BD217" s="141">
        <f t="shared" si="147"/>
        <v>0</v>
      </c>
      <c r="BE217" s="141">
        <f t="shared" si="148"/>
        <v>0</v>
      </c>
      <c r="BF217" s="141">
        <f t="shared" si="149"/>
        <v>0</v>
      </c>
      <c r="BG217" s="141">
        <f t="shared" si="126"/>
        <v>0</v>
      </c>
      <c r="BH217" s="141">
        <f t="shared" si="127"/>
        <v>0</v>
      </c>
      <c r="BI217" s="141">
        <f t="shared" si="150"/>
        <v>0</v>
      </c>
      <c r="BJ217" s="147">
        <f t="shared" si="128"/>
        <v>0</v>
      </c>
      <c r="BK217" s="141">
        <f t="shared" si="129"/>
        <v>0</v>
      </c>
      <c r="BL217" s="141">
        <f t="shared" si="130"/>
        <v>0</v>
      </c>
      <c r="BM217" s="141">
        <f t="shared" si="131"/>
        <v>0</v>
      </c>
      <c r="BN217" s="141">
        <f t="shared" si="132"/>
        <v>0</v>
      </c>
      <c r="BO217" s="141">
        <f t="shared" si="133"/>
        <v>0</v>
      </c>
      <c r="BP217" s="141">
        <f t="shared" si="134"/>
        <v>0</v>
      </c>
      <c r="BT217" s="177"/>
      <c r="BU217" s="173"/>
      <c r="BV217" s="174"/>
      <c r="BW217" s="117"/>
      <c r="BX217" s="180"/>
      <c r="BY217" s="117"/>
      <c r="BZ217" s="181"/>
      <c r="CA217" s="182"/>
      <c r="CB217" s="176"/>
      <c r="CC217" s="176"/>
      <c r="CF217" s="170"/>
      <c r="CG217" s="171"/>
      <c r="CH217" s="170"/>
      <c r="CI217" s="171"/>
    </row>
    <row r="218" spans="2:87" s="108" customFormat="1" ht="15" hidden="1" customHeight="1">
      <c r="B218" s="109"/>
      <c r="C218" s="141" t="e">
        <f t="shared" si="152"/>
        <v>#NUM!</v>
      </c>
      <c r="D218" s="141">
        <f t="shared" si="111"/>
        <v>0</v>
      </c>
      <c r="E218" s="141"/>
      <c r="F218" s="142">
        <f t="shared" si="135"/>
        <v>0</v>
      </c>
      <c r="G218" s="143" t="s">
        <v>146</v>
      </c>
      <c r="H218" s="80">
        <f t="shared" si="112"/>
        <v>0</v>
      </c>
      <c r="I218" s="80" t="str">
        <f t="shared" si="136"/>
        <v/>
      </c>
      <c r="J218" s="144"/>
      <c r="K218" s="144"/>
      <c r="L218" s="144"/>
      <c r="M218" s="76"/>
      <c r="N218" s="77"/>
      <c r="O218" s="145"/>
      <c r="P218" s="77">
        <f t="shared" si="137"/>
        <v>0</v>
      </c>
      <c r="Q218" s="78"/>
      <c r="R218" s="79"/>
      <c r="S218" s="146">
        <f t="shared" si="153"/>
        <v>0</v>
      </c>
      <c r="T218" s="141" t="b">
        <f t="shared" si="151"/>
        <v>0</v>
      </c>
      <c r="U218" s="649">
        <f t="shared" si="113"/>
        <v>0</v>
      </c>
      <c r="V218" s="650"/>
      <c r="W218" s="649">
        <f t="shared" si="114"/>
        <v>0</v>
      </c>
      <c r="X218" s="650"/>
      <c r="Y218" s="649">
        <f t="shared" si="115"/>
        <v>0</v>
      </c>
      <c r="Z218" s="650"/>
      <c r="AA218" s="649">
        <f t="shared" si="116"/>
        <v>0</v>
      </c>
      <c r="AB218" s="650"/>
      <c r="AC218" s="649">
        <f t="shared" si="117"/>
        <v>0</v>
      </c>
      <c r="AD218" s="650"/>
      <c r="AE218" s="649">
        <f t="shared" si="118"/>
        <v>0</v>
      </c>
      <c r="AF218" s="650"/>
      <c r="AG218" s="649">
        <f t="shared" si="119"/>
        <v>0</v>
      </c>
      <c r="AH218" s="650"/>
      <c r="AI218" s="649">
        <f t="shared" si="120"/>
        <v>0</v>
      </c>
      <c r="AJ218" s="650"/>
      <c r="AK218" s="649">
        <f t="shared" si="121"/>
        <v>0</v>
      </c>
      <c r="AL218" s="650"/>
      <c r="AM218" s="649">
        <f t="shared" si="122"/>
        <v>0</v>
      </c>
      <c r="AN218" s="650"/>
      <c r="AO218" s="649">
        <f t="shared" si="123"/>
        <v>0</v>
      </c>
      <c r="AP218" s="650"/>
      <c r="AQ218" s="649">
        <f t="shared" si="124"/>
        <v>0</v>
      </c>
      <c r="AR218" s="650"/>
      <c r="AS218" s="651">
        <f t="shared" si="125"/>
        <v>0</v>
      </c>
      <c r="AT218" s="652"/>
      <c r="AU218" s="141">
        <f t="shared" si="138"/>
        <v>0</v>
      </c>
      <c r="AV218" s="141">
        <f t="shared" si="139"/>
        <v>0</v>
      </c>
      <c r="AW218" s="141">
        <f t="shared" si="140"/>
        <v>0</v>
      </c>
      <c r="AX218" s="141">
        <f t="shared" si="141"/>
        <v>0</v>
      </c>
      <c r="AY218" s="141">
        <f t="shared" si="142"/>
        <v>0</v>
      </c>
      <c r="AZ218" s="141">
        <f t="shared" si="143"/>
        <v>0</v>
      </c>
      <c r="BA218" s="141">
        <f t="shared" si="144"/>
        <v>0</v>
      </c>
      <c r="BB218" s="141">
        <f t="shared" si="145"/>
        <v>0</v>
      </c>
      <c r="BC218" s="141">
        <f t="shared" si="146"/>
        <v>0</v>
      </c>
      <c r="BD218" s="141">
        <f t="shared" si="147"/>
        <v>0</v>
      </c>
      <c r="BE218" s="141">
        <f t="shared" si="148"/>
        <v>0</v>
      </c>
      <c r="BF218" s="141">
        <f t="shared" si="149"/>
        <v>0</v>
      </c>
      <c r="BG218" s="141">
        <f t="shared" si="126"/>
        <v>0</v>
      </c>
      <c r="BH218" s="141">
        <f t="shared" si="127"/>
        <v>0</v>
      </c>
      <c r="BI218" s="141">
        <f t="shared" si="150"/>
        <v>0</v>
      </c>
      <c r="BJ218" s="147">
        <f t="shared" si="128"/>
        <v>0</v>
      </c>
      <c r="BK218" s="141">
        <f t="shared" si="129"/>
        <v>0</v>
      </c>
      <c r="BL218" s="141">
        <f t="shared" si="130"/>
        <v>0</v>
      </c>
      <c r="BM218" s="141">
        <f t="shared" si="131"/>
        <v>0</v>
      </c>
      <c r="BN218" s="141">
        <f t="shared" si="132"/>
        <v>0</v>
      </c>
      <c r="BO218" s="141">
        <f t="shared" si="133"/>
        <v>0</v>
      </c>
      <c r="BP218" s="141">
        <f t="shared" si="134"/>
        <v>0</v>
      </c>
      <c r="BT218" s="177"/>
      <c r="BU218" s="173"/>
      <c r="BV218" s="174"/>
      <c r="BW218" s="117"/>
      <c r="BX218" s="180"/>
      <c r="BY218" s="117"/>
      <c r="BZ218" s="181"/>
      <c r="CA218" s="182"/>
      <c r="CB218" s="176"/>
      <c r="CC218" s="176"/>
      <c r="CF218" s="170"/>
      <c r="CG218" s="171"/>
      <c r="CH218" s="170"/>
      <c r="CI218" s="171"/>
    </row>
    <row r="219" spans="2:87" s="108" customFormat="1" ht="15" hidden="1" customHeight="1">
      <c r="B219" s="109"/>
      <c r="C219" s="141" t="e">
        <f t="shared" si="152"/>
        <v>#NUM!</v>
      </c>
      <c r="D219" s="141">
        <f t="shared" si="111"/>
        <v>0</v>
      </c>
      <c r="E219" s="141" t="str">
        <f>IFERROR(DGET($BV$30:$CC$82,F219,G218:G219),"")</f>
        <v/>
      </c>
      <c r="F219" s="142">
        <f t="shared" si="135"/>
        <v>0</v>
      </c>
      <c r="G219" s="142" t="b">
        <f>IF(Q219&gt;0,IF(AND(S219&gt;0,S219&lt;2),CONCATENATE(Q219," ","0-2"),IF(AND(S219&gt;=2,S219&lt;8),CONCATENATE(Q219," ","2-8"),)))</f>
        <v>0</v>
      </c>
      <c r="H219" s="80">
        <f t="shared" si="112"/>
        <v>0</v>
      </c>
      <c r="I219" s="80" t="str">
        <f t="shared" si="136"/>
        <v/>
      </c>
      <c r="J219" s="76"/>
      <c r="K219" s="76"/>
      <c r="L219" s="76"/>
      <c r="M219" s="80"/>
      <c r="N219" s="79"/>
      <c r="O219" s="148"/>
      <c r="P219" s="77">
        <f t="shared" si="137"/>
        <v>0</v>
      </c>
      <c r="Q219" s="81"/>
      <c r="R219" s="77"/>
      <c r="S219" s="146">
        <f t="shared" si="153"/>
        <v>0</v>
      </c>
      <c r="T219" s="141" t="b">
        <f t="shared" si="151"/>
        <v>0</v>
      </c>
      <c r="U219" s="649">
        <f t="shared" si="113"/>
        <v>0</v>
      </c>
      <c r="V219" s="650"/>
      <c r="W219" s="649">
        <f t="shared" si="114"/>
        <v>0</v>
      </c>
      <c r="X219" s="650"/>
      <c r="Y219" s="649">
        <f t="shared" si="115"/>
        <v>0</v>
      </c>
      <c r="Z219" s="650"/>
      <c r="AA219" s="649">
        <f t="shared" si="116"/>
        <v>0</v>
      </c>
      <c r="AB219" s="650"/>
      <c r="AC219" s="649">
        <f t="shared" si="117"/>
        <v>0</v>
      </c>
      <c r="AD219" s="650"/>
      <c r="AE219" s="649">
        <f t="shared" si="118"/>
        <v>0</v>
      </c>
      <c r="AF219" s="650"/>
      <c r="AG219" s="649">
        <f t="shared" si="119"/>
        <v>0</v>
      </c>
      <c r="AH219" s="650"/>
      <c r="AI219" s="649">
        <f t="shared" si="120"/>
        <v>0</v>
      </c>
      <c r="AJ219" s="650"/>
      <c r="AK219" s="649">
        <f t="shared" si="121"/>
        <v>0</v>
      </c>
      <c r="AL219" s="650"/>
      <c r="AM219" s="649">
        <f t="shared" si="122"/>
        <v>0</v>
      </c>
      <c r="AN219" s="650"/>
      <c r="AO219" s="649">
        <f t="shared" si="123"/>
        <v>0</v>
      </c>
      <c r="AP219" s="650"/>
      <c r="AQ219" s="649">
        <f t="shared" si="124"/>
        <v>0</v>
      </c>
      <c r="AR219" s="650"/>
      <c r="AS219" s="651">
        <f t="shared" si="125"/>
        <v>0</v>
      </c>
      <c r="AT219" s="652"/>
      <c r="AU219" s="141">
        <f t="shared" si="138"/>
        <v>0</v>
      </c>
      <c r="AV219" s="141">
        <f t="shared" si="139"/>
        <v>0</v>
      </c>
      <c r="AW219" s="141">
        <f t="shared" si="140"/>
        <v>0</v>
      </c>
      <c r="AX219" s="141">
        <f t="shared" si="141"/>
        <v>0</v>
      </c>
      <c r="AY219" s="141">
        <f t="shared" si="142"/>
        <v>0</v>
      </c>
      <c r="AZ219" s="141">
        <f t="shared" si="143"/>
        <v>0</v>
      </c>
      <c r="BA219" s="141">
        <f t="shared" si="144"/>
        <v>0</v>
      </c>
      <c r="BB219" s="141">
        <f t="shared" si="145"/>
        <v>0</v>
      </c>
      <c r="BC219" s="141">
        <f t="shared" si="146"/>
        <v>0</v>
      </c>
      <c r="BD219" s="141">
        <f t="shared" si="147"/>
        <v>0</v>
      </c>
      <c r="BE219" s="141">
        <f t="shared" si="148"/>
        <v>0</v>
      </c>
      <c r="BF219" s="141">
        <f t="shared" si="149"/>
        <v>0</v>
      </c>
      <c r="BG219" s="141">
        <f t="shared" si="126"/>
        <v>0</v>
      </c>
      <c r="BH219" s="141">
        <f t="shared" si="127"/>
        <v>0</v>
      </c>
      <c r="BI219" s="141">
        <f t="shared" si="150"/>
        <v>0</v>
      </c>
      <c r="BJ219" s="147">
        <f t="shared" si="128"/>
        <v>0</v>
      </c>
      <c r="BK219" s="141">
        <f t="shared" si="129"/>
        <v>0</v>
      </c>
      <c r="BL219" s="141">
        <f t="shared" si="130"/>
        <v>0</v>
      </c>
      <c r="BM219" s="141">
        <f t="shared" si="131"/>
        <v>0</v>
      </c>
      <c r="BN219" s="141">
        <f t="shared" si="132"/>
        <v>0</v>
      </c>
      <c r="BO219" s="141">
        <f t="shared" si="133"/>
        <v>0</v>
      </c>
      <c r="BP219" s="141">
        <f t="shared" si="134"/>
        <v>0</v>
      </c>
      <c r="BT219" s="177"/>
      <c r="BU219" s="173"/>
      <c r="BV219" s="174"/>
      <c r="BW219" s="117"/>
      <c r="BX219" s="180"/>
      <c r="BY219" s="117"/>
      <c r="BZ219" s="181"/>
      <c r="CA219" s="182"/>
      <c r="CB219" s="176"/>
      <c r="CC219" s="176"/>
      <c r="CF219" s="170"/>
      <c r="CG219" s="171"/>
      <c r="CH219" s="170"/>
      <c r="CI219" s="171"/>
    </row>
    <row r="220" spans="2:87" s="108" customFormat="1" ht="15" hidden="1" customHeight="1">
      <c r="B220" s="109"/>
      <c r="C220" s="141" t="e">
        <f t="shared" si="152"/>
        <v>#NUM!</v>
      </c>
      <c r="D220" s="141">
        <f t="shared" ref="D220:D283" si="154">IFERROR(IF(SEARCH("pv",M220)=1,IF(M220&gt;0,1/COUNTIF(M:M,M220),0),0),0)</f>
        <v>0</v>
      </c>
      <c r="E220" s="141"/>
      <c r="F220" s="142">
        <f t="shared" si="135"/>
        <v>0</v>
      </c>
      <c r="G220" s="143" t="s">
        <v>146</v>
      </c>
      <c r="H220" s="80">
        <f t="shared" ref="H220:H283" si="155">IFERROR(VLOOKUP(I220,$CF$75:$CK$104,6,0),0)</f>
        <v>0</v>
      </c>
      <c r="I220" s="80" t="str">
        <f t="shared" si="136"/>
        <v/>
      </c>
      <c r="J220" s="144"/>
      <c r="K220" s="144"/>
      <c r="L220" s="144"/>
      <c r="M220" s="76"/>
      <c r="N220" s="77"/>
      <c r="O220" s="145"/>
      <c r="P220" s="77">
        <f t="shared" si="137"/>
        <v>0</v>
      </c>
      <c r="Q220" s="78"/>
      <c r="R220" s="79"/>
      <c r="S220" s="146">
        <f t="shared" si="153"/>
        <v>0</v>
      </c>
      <c r="T220" s="141" t="b">
        <f t="shared" si="151"/>
        <v>0</v>
      </c>
      <c r="U220" s="649">
        <f t="shared" ref="U220:U286" si="156">IFERROR(IF(L220="SECO",IF(AND(S220&gt;$U$27,S220&lt;=$V$27),(P220*S220*E220),IF(S220&gt;=$V$27,(($V$27-$U$27)*P220*E220),0))*$BU$17,0),0)</f>
        <v>0</v>
      </c>
      <c r="V220" s="650"/>
      <c r="W220" s="649">
        <f t="shared" ref="W220:W286" si="157">IFERROR(IF(L220="SECO",IF(AND(S220&gt;$W$27,S220&lt;=$X$27),(P220*(S220-$V$27)*E220),IF(S220&gt;=$X$27,(($X$27-$W$27)*P220*E220),0))*$BU$17,0),0)</f>
        <v>0</v>
      </c>
      <c r="X220" s="650"/>
      <c r="Y220" s="649">
        <f t="shared" ref="Y220:Y286" si="158">IFERROR(IF(L220="SECO",IF(AND(S220&gt;$Y$27,S220&lt;=$Z$27),(P220*(S220-$X$27)*E220),IF(S220&gt;=$Z$27,(($Z$27-$Y$27)*P220*E220),0))*$BU$17,0),0)</f>
        <v>0</v>
      </c>
      <c r="Z220" s="650"/>
      <c r="AA220" s="649">
        <f t="shared" ref="AA220:AA286" si="159">IFERROR(IF(L220="SECO",IF(AND(S220&gt;$AA$27,S220&lt;=$AB$27),(P220*S220*E220),IF(S220&gt;=$AB$27,(($AB$27-$AA$27)*P220*E220),0))*$BU$19,0),0)</f>
        <v>0</v>
      </c>
      <c r="AB220" s="650"/>
      <c r="AC220" s="649">
        <f t="shared" ref="AC220:AC286" si="160">IFERROR(IF(L220="SECO",IF(AND(S220&gt;$AC$27,S220&lt;=$AD$27),(P220*(S220-$AB$27)*E220),IF(S220&gt;=$AD$27,(($AD$27-$AC$27)*P220*E220),0))*$BU$19,0),0)</f>
        <v>0</v>
      </c>
      <c r="AD220" s="650"/>
      <c r="AE220" s="649">
        <f t="shared" ref="AE220:AE286" si="161">IFERROR(IF(L220="SECO",IF(AND(S220&gt;$AE$27,S220&lt;=$AF$27),(P220*(S220-$AD$27)*E220),IF(S220&gt;=$AF$27,(($AF$27-$AE$27)*P220*E220),0))*$BU$19,0),0)</f>
        <v>0</v>
      </c>
      <c r="AF220" s="650"/>
      <c r="AG220" s="649">
        <f t="shared" ref="AG220:AG286" si="162">IFERROR(IF(L220="SECO",IF(AND(S220&gt;$AG$27,S220&lt;=$AH$27),(P220*(S220-$AF$27)*E220),IF(S220&gt;=$AH$27,(($AH$27-$AG$27)*P220*E220),0))*($BU$19+$BU$17),0),0)</f>
        <v>0</v>
      </c>
      <c r="AH220" s="650"/>
      <c r="AI220" s="649">
        <f t="shared" ref="AI220:AI286" si="163">IFERROR(IF(L220="ÁGUA",IF(AND(S220&gt;$AI$27,S220&lt;=$AJ$27),(P220*S220*E220),IF(S220&gt;=$AJ$27,(($AJ$27-$AI$27)*P220*E220),0))*$BU$17,0),0)</f>
        <v>0</v>
      </c>
      <c r="AJ220" s="650"/>
      <c r="AK220" s="649">
        <f t="shared" ref="AK220:AK286" si="164">IFERROR(IF(L220="ÁGUA",IF(AND(S220&gt;$AK$27,S220&lt;=$AL$27),(P220*(S220-$AJ$27)*E220),IF(S220&gt;=$AL$27,(($AL$27-$AK$27)*P220*E220),0))*$BU$17,0),0)</f>
        <v>0</v>
      </c>
      <c r="AL220" s="650"/>
      <c r="AM220" s="649">
        <f t="shared" ref="AM220:AM286" si="165">IFERROR(IF(L220="ÁGUA",IF(AND(S220&gt;$AM$27,S220&lt;=$AN$27),(P220*S220*E220),IF(S220&gt;=$AN$27,(($AN$27-$AM$27)*P220*E220),0))*$BU$19,0),0)</f>
        <v>0</v>
      </c>
      <c r="AN220" s="650"/>
      <c r="AO220" s="649">
        <f t="shared" ref="AO220:AO286" si="166">IFERROR(IF(L220="ÁGUA",IF(AND(S220&gt;$AO$27,S220&lt;=$AP$27),(P220*(S220-$AN$27)*E220),IF(S220&gt;=$AP$27,(($AP$27-$AO$27)*P220*E220),0))*$BU$19,0),0)</f>
        <v>0</v>
      </c>
      <c r="AP220" s="650"/>
      <c r="AQ220" s="649">
        <f t="shared" ref="AQ220:AQ286" si="167">IFERROR(IF(L220="ÁGUA",IF(AND(S220&gt;$AQ$27,S220&lt;=$AR$27),(P220*(S220-$AP$27)*E220),IF(S220&gt;=$AR$27,(($AR$27-$AQ$27)*P220*E220),0))*($BU$19+$BU$17),0),0)</f>
        <v>0</v>
      </c>
      <c r="AR220" s="650"/>
      <c r="AS220" s="651">
        <f t="shared" ref="AS220:AS286" si="168">IFERROR(IF(L220="ÁGUA",IF(AND(S220&gt;$AS$27,S220&lt;=$AT$27),(P220*(S220-$AR$27)*E220),IF(S220&gt;=$AT$27,(($AT$27-$AS$27)*P220*E220),0))*($BU$19+$BU$17),0),0)</f>
        <v>0</v>
      </c>
      <c r="AT220" s="652"/>
      <c r="AU220" s="141">
        <f t="shared" si="138"/>
        <v>0</v>
      </c>
      <c r="AV220" s="141">
        <f t="shared" si="139"/>
        <v>0</v>
      </c>
      <c r="AW220" s="141">
        <f t="shared" si="140"/>
        <v>0</v>
      </c>
      <c r="AX220" s="141">
        <f t="shared" si="141"/>
        <v>0</v>
      </c>
      <c r="AY220" s="141">
        <f t="shared" si="142"/>
        <v>0</v>
      </c>
      <c r="AZ220" s="141">
        <f t="shared" si="143"/>
        <v>0</v>
      </c>
      <c r="BA220" s="141">
        <f t="shared" si="144"/>
        <v>0</v>
      </c>
      <c r="BB220" s="141">
        <f t="shared" si="145"/>
        <v>0</v>
      </c>
      <c r="BC220" s="141">
        <f t="shared" si="146"/>
        <v>0</v>
      </c>
      <c r="BD220" s="141">
        <f t="shared" si="147"/>
        <v>0</v>
      </c>
      <c r="BE220" s="141">
        <f t="shared" si="148"/>
        <v>0</v>
      </c>
      <c r="BF220" s="141">
        <f t="shared" si="149"/>
        <v>0</v>
      </c>
      <c r="BG220" s="141">
        <f t="shared" ref="BG220:BG286" si="169">IF(L220="água",(VLOOKUP(Q220,$CF$31:$CG$52,2,0)*E220*P220),0)</f>
        <v>0</v>
      </c>
      <c r="BH220" s="141">
        <f t="shared" ref="BH220:BH286" si="170">IF(L220="água",(VLOOKUP(Q220,$CH$31:$CI$52,2,0)*E220*P220),0)</f>
        <v>0</v>
      </c>
      <c r="BI220" s="141">
        <f t="shared" si="150"/>
        <v>0</v>
      </c>
      <c r="BJ220" s="147">
        <f t="shared" ref="BJ220:BJ285" si="171">IFERROR(VLOOKUP(I220,$CF$75:$CI$104,4,0),0)</f>
        <v>0</v>
      </c>
      <c r="BK220" s="141">
        <f t="shared" ref="BK220:BK283" si="172">IF(J220="BSTC",VLOOKUP(Q220,$CF$58:$CG$70,2,0)*P220,0)</f>
        <v>0</v>
      </c>
      <c r="BL220" s="141">
        <f t="shared" ref="BL220:BL283" si="173">IF(J220="BSTC",VLOOKUP(Q220,$CH$58:$CI$70,2,0)*P220,0)</f>
        <v>0</v>
      </c>
      <c r="BM220" s="141">
        <f t="shared" ref="BM220:BM286" si="174">IF(K220=$BM$27,P220*E220,0)</f>
        <v>0</v>
      </c>
      <c r="BN220" s="141">
        <f t="shared" ref="BN220:BN286" si="175">IF(K220=$BN$27,P220*E220,0)</f>
        <v>0</v>
      </c>
      <c r="BO220" s="141">
        <f t="shared" ref="BO220:BO286" si="176">IF(K220=$BO$27,P220*E220,0)</f>
        <v>0</v>
      </c>
      <c r="BP220" s="141">
        <f t="shared" ref="BP220:BP286" si="177">IF(K220=$BP$27,P220*E220,0)</f>
        <v>0</v>
      </c>
      <c r="BT220" s="177"/>
      <c r="BU220" s="173"/>
      <c r="BV220" s="174"/>
      <c r="BW220" s="117"/>
      <c r="BX220" s="180"/>
      <c r="BY220" s="117"/>
      <c r="BZ220" s="181"/>
      <c r="CA220" s="182"/>
      <c r="CB220" s="176"/>
      <c r="CC220" s="176"/>
      <c r="CF220" s="170"/>
      <c r="CG220" s="171"/>
      <c r="CH220" s="170"/>
      <c r="CI220" s="171"/>
    </row>
    <row r="221" spans="2:87" s="108" customFormat="1" ht="15" hidden="1" customHeight="1">
      <c r="B221" s="109"/>
      <c r="C221" s="141" t="e">
        <f t="shared" si="152"/>
        <v>#NUM!</v>
      </c>
      <c r="D221" s="141">
        <f t="shared" si="154"/>
        <v>0</v>
      </c>
      <c r="E221" s="141" t="str">
        <f>IFERROR(DGET($BV$30:$CC$82,F221,G220:G221),"")</f>
        <v/>
      </c>
      <c r="F221" s="142">
        <f t="shared" ref="F221:F286" si="178">IF(AV221&gt;0,$AV$25,IF(AW221&gt;0,$AW$25,IF(AX221&gt;0,$AX$25,IF(AY221&gt;0,$AY$25,IF(AZ221&gt;0,$AZ$25,IF(AU221&gt;0,$AU$25,0))))))</f>
        <v>0</v>
      </c>
      <c r="G221" s="142" t="b">
        <f>IF(Q221&gt;0,IF(AND(S221&gt;0,S221&lt;2),CONCATENATE(Q221," ","0-2"),IF(AND(S221&gt;=2,S221&lt;8),CONCATENATE(Q221," ","2-8"),)))</f>
        <v>0</v>
      </c>
      <c r="H221" s="80">
        <f t="shared" si="155"/>
        <v>0</v>
      </c>
      <c r="I221" s="80" t="str">
        <f t="shared" si="136"/>
        <v/>
      </c>
      <c r="J221" s="76"/>
      <c r="K221" s="76"/>
      <c r="L221" s="76"/>
      <c r="M221" s="80"/>
      <c r="N221" s="79"/>
      <c r="O221" s="148"/>
      <c r="P221" s="77">
        <f t="shared" si="137"/>
        <v>0</v>
      </c>
      <c r="Q221" s="81"/>
      <c r="R221" s="77"/>
      <c r="S221" s="146">
        <f t="shared" si="153"/>
        <v>0</v>
      </c>
      <c r="T221" s="141" t="b">
        <f t="shared" si="151"/>
        <v>0</v>
      </c>
      <c r="U221" s="649">
        <f t="shared" si="156"/>
        <v>0</v>
      </c>
      <c r="V221" s="650"/>
      <c r="W221" s="649">
        <f t="shared" si="157"/>
        <v>0</v>
      </c>
      <c r="X221" s="650"/>
      <c r="Y221" s="649">
        <f t="shared" si="158"/>
        <v>0</v>
      </c>
      <c r="Z221" s="650"/>
      <c r="AA221" s="649">
        <f t="shared" si="159"/>
        <v>0</v>
      </c>
      <c r="AB221" s="650"/>
      <c r="AC221" s="649">
        <f t="shared" si="160"/>
        <v>0</v>
      </c>
      <c r="AD221" s="650"/>
      <c r="AE221" s="649">
        <f t="shared" si="161"/>
        <v>0</v>
      </c>
      <c r="AF221" s="650"/>
      <c r="AG221" s="649">
        <f t="shared" si="162"/>
        <v>0</v>
      </c>
      <c r="AH221" s="650"/>
      <c r="AI221" s="649">
        <f t="shared" si="163"/>
        <v>0</v>
      </c>
      <c r="AJ221" s="650"/>
      <c r="AK221" s="649">
        <f t="shared" si="164"/>
        <v>0</v>
      </c>
      <c r="AL221" s="650"/>
      <c r="AM221" s="649">
        <f t="shared" si="165"/>
        <v>0</v>
      </c>
      <c r="AN221" s="650"/>
      <c r="AO221" s="649">
        <f t="shared" si="166"/>
        <v>0</v>
      </c>
      <c r="AP221" s="650"/>
      <c r="AQ221" s="649">
        <f t="shared" si="167"/>
        <v>0</v>
      </c>
      <c r="AR221" s="650"/>
      <c r="AS221" s="651">
        <f t="shared" si="168"/>
        <v>0</v>
      </c>
      <c r="AT221" s="652"/>
      <c r="AU221" s="141">
        <f t="shared" si="138"/>
        <v>0</v>
      </c>
      <c r="AV221" s="141">
        <f t="shared" si="139"/>
        <v>0</v>
      </c>
      <c r="AW221" s="141">
        <f t="shared" si="140"/>
        <v>0</v>
      </c>
      <c r="AX221" s="141">
        <f t="shared" si="141"/>
        <v>0</v>
      </c>
      <c r="AY221" s="141">
        <f t="shared" si="142"/>
        <v>0</v>
      </c>
      <c r="AZ221" s="141">
        <f t="shared" si="143"/>
        <v>0</v>
      </c>
      <c r="BA221" s="141">
        <f t="shared" si="144"/>
        <v>0</v>
      </c>
      <c r="BB221" s="141">
        <f t="shared" si="145"/>
        <v>0</v>
      </c>
      <c r="BC221" s="141">
        <f t="shared" si="146"/>
        <v>0</v>
      </c>
      <c r="BD221" s="141">
        <f t="shared" si="147"/>
        <v>0</v>
      </c>
      <c r="BE221" s="141">
        <f t="shared" si="148"/>
        <v>0</v>
      </c>
      <c r="BF221" s="141">
        <f t="shared" si="149"/>
        <v>0</v>
      </c>
      <c r="BG221" s="141">
        <f t="shared" si="169"/>
        <v>0</v>
      </c>
      <c r="BH221" s="141">
        <f t="shared" si="170"/>
        <v>0</v>
      </c>
      <c r="BI221" s="141">
        <f t="shared" si="150"/>
        <v>0</v>
      </c>
      <c r="BJ221" s="147">
        <f t="shared" si="171"/>
        <v>0</v>
      </c>
      <c r="BK221" s="141">
        <f t="shared" si="172"/>
        <v>0</v>
      </c>
      <c r="BL221" s="141">
        <f t="shared" si="173"/>
        <v>0</v>
      </c>
      <c r="BM221" s="141">
        <f t="shared" si="174"/>
        <v>0</v>
      </c>
      <c r="BN221" s="141">
        <f t="shared" si="175"/>
        <v>0</v>
      </c>
      <c r="BO221" s="141">
        <f t="shared" si="176"/>
        <v>0</v>
      </c>
      <c r="BP221" s="141">
        <f t="shared" si="177"/>
        <v>0</v>
      </c>
      <c r="BT221" s="177"/>
      <c r="BU221" s="173"/>
      <c r="BV221" s="174"/>
      <c r="BW221" s="117"/>
      <c r="BX221" s="180"/>
      <c r="BY221" s="117"/>
      <c r="BZ221" s="181"/>
      <c r="CA221" s="182"/>
      <c r="CB221" s="176"/>
      <c r="CC221" s="176"/>
      <c r="CF221" s="170"/>
      <c r="CG221" s="171"/>
      <c r="CH221" s="170"/>
      <c r="CI221" s="171"/>
    </row>
    <row r="222" spans="2:87" s="108" customFormat="1" ht="15" hidden="1" customHeight="1">
      <c r="B222" s="109"/>
      <c r="C222" s="141" t="e">
        <f t="shared" si="152"/>
        <v>#NUM!</v>
      </c>
      <c r="D222" s="141">
        <f t="shared" si="154"/>
        <v>0</v>
      </c>
      <c r="E222" s="141"/>
      <c r="F222" s="142">
        <f t="shared" si="178"/>
        <v>0</v>
      </c>
      <c r="G222" s="143" t="s">
        <v>146</v>
      </c>
      <c r="H222" s="80">
        <f t="shared" si="155"/>
        <v>0</v>
      </c>
      <c r="I222" s="80" t="str">
        <f t="shared" ref="I222:I285" si="179">CONCATENATE(J222,Q222)</f>
        <v/>
      </c>
      <c r="J222" s="144"/>
      <c r="K222" s="144"/>
      <c r="L222" s="144"/>
      <c r="M222" s="76"/>
      <c r="N222" s="77"/>
      <c r="O222" s="145"/>
      <c r="P222" s="77">
        <f t="shared" ref="P222:P285" si="180">SQRT(((N222*O222)^2)+(N222^2))</f>
        <v>0</v>
      </c>
      <c r="Q222" s="78"/>
      <c r="R222" s="79"/>
      <c r="S222" s="146">
        <f t="shared" si="153"/>
        <v>0</v>
      </c>
      <c r="T222" s="141" t="b">
        <f t="shared" si="151"/>
        <v>0</v>
      </c>
      <c r="U222" s="649">
        <f t="shared" si="156"/>
        <v>0</v>
      </c>
      <c r="V222" s="650"/>
      <c r="W222" s="649">
        <f t="shared" si="157"/>
        <v>0</v>
      </c>
      <c r="X222" s="650"/>
      <c r="Y222" s="649">
        <f t="shared" si="158"/>
        <v>0</v>
      </c>
      <c r="Z222" s="650"/>
      <c r="AA222" s="649">
        <f t="shared" si="159"/>
        <v>0</v>
      </c>
      <c r="AB222" s="650"/>
      <c r="AC222" s="649">
        <f t="shared" si="160"/>
        <v>0</v>
      </c>
      <c r="AD222" s="650"/>
      <c r="AE222" s="649">
        <f t="shared" si="161"/>
        <v>0</v>
      </c>
      <c r="AF222" s="650"/>
      <c r="AG222" s="649">
        <f t="shared" si="162"/>
        <v>0</v>
      </c>
      <c r="AH222" s="650"/>
      <c r="AI222" s="649">
        <f t="shared" si="163"/>
        <v>0</v>
      </c>
      <c r="AJ222" s="650"/>
      <c r="AK222" s="649">
        <f t="shared" si="164"/>
        <v>0</v>
      </c>
      <c r="AL222" s="650"/>
      <c r="AM222" s="649">
        <f t="shared" si="165"/>
        <v>0</v>
      </c>
      <c r="AN222" s="650"/>
      <c r="AO222" s="649">
        <f t="shared" si="166"/>
        <v>0</v>
      </c>
      <c r="AP222" s="650"/>
      <c r="AQ222" s="649">
        <f t="shared" si="167"/>
        <v>0</v>
      </c>
      <c r="AR222" s="650"/>
      <c r="AS222" s="651">
        <f t="shared" si="168"/>
        <v>0</v>
      </c>
      <c r="AT222" s="652"/>
      <c r="AU222" s="141">
        <f t="shared" ref="AU222:AU285" si="181">IF((S222&lt;1.25),S222*P222*2,0)</f>
        <v>0</v>
      </c>
      <c r="AV222" s="141">
        <f t="shared" ref="AV222:AV285" si="182">IF(AND(L222="seco",S222&gt;=1.25,S222&lt;3),S222*P222*2,0)</f>
        <v>0</v>
      </c>
      <c r="AW222" s="141">
        <f t="shared" ref="AW222:AW285" si="183">IF(AND(L222="seco",S222&gt;=3),S222*P222*2,0)</f>
        <v>0</v>
      </c>
      <c r="AX222" s="141">
        <f t="shared" ref="AX222:AX285" si="184">IF(AND(L222="água",S222&gt;=1.25,S222&lt;4),S222*P222*2,0)</f>
        <v>0</v>
      </c>
      <c r="AY222" s="141">
        <f t="shared" ref="AY222:AY285" si="185">IF(AND(L222="água",S222&gt;=4,S222&lt;5),S222*P222*2,0)</f>
        <v>0</v>
      </c>
      <c r="AZ222" s="141">
        <f t="shared" ref="AZ222:AZ285" si="186">IF(AND(L222="água",S222&gt;=5),S222*P222*2,0)</f>
        <v>0</v>
      </c>
      <c r="BA222" s="141">
        <f t="shared" ref="BA222:BA285" si="187">SUM(U222:AT222)</f>
        <v>0</v>
      </c>
      <c r="BB222" s="141">
        <f t="shared" ref="BB222:BB285" si="188">BA222-((PI()*((Q222/2000)^2)*P222)+BG222+BH222+BK222+BF222)</f>
        <v>0</v>
      </c>
      <c r="BC222" s="141">
        <f t="shared" ref="BC222:BC285" si="189">IF(L222="ÁGUA",BA222,BA222-BB222)</f>
        <v>0</v>
      </c>
      <c r="BD222" s="141">
        <f t="shared" ref="BD222:BD285" si="190">IF(L222="ÁGUA",BB222,0)</f>
        <v>0</v>
      </c>
      <c r="BE222" s="141">
        <f t="shared" ref="BE222:BE285" si="191">IFERROR(P222*E222,0)</f>
        <v>0</v>
      </c>
      <c r="BF222" s="141">
        <f t="shared" ref="BF222:BF285" si="192">IF(OR(J222="PEAD",J222="PVC"),((((H222+Q222)/1000)+0.6)*E222*P222)-((PI()*((Q222/2000)^2)*P222)),0)</f>
        <v>0</v>
      </c>
      <c r="BG222" s="141">
        <f t="shared" si="169"/>
        <v>0</v>
      </c>
      <c r="BH222" s="141">
        <f t="shared" si="170"/>
        <v>0</v>
      </c>
      <c r="BI222" s="141">
        <f t="shared" ref="BI222:BI285" si="193">IF(L222="água",(P222),0)</f>
        <v>0</v>
      </c>
      <c r="BJ222" s="147">
        <f t="shared" si="171"/>
        <v>0</v>
      </c>
      <c r="BK222" s="141">
        <f t="shared" si="172"/>
        <v>0</v>
      </c>
      <c r="BL222" s="141">
        <f t="shared" si="173"/>
        <v>0</v>
      </c>
      <c r="BM222" s="141">
        <f t="shared" si="174"/>
        <v>0</v>
      </c>
      <c r="BN222" s="141">
        <f t="shared" si="175"/>
        <v>0</v>
      </c>
      <c r="BO222" s="141">
        <f t="shared" si="176"/>
        <v>0</v>
      </c>
      <c r="BP222" s="141">
        <f t="shared" si="177"/>
        <v>0</v>
      </c>
      <c r="BT222" s="177"/>
      <c r="BU222" s="173"/>
      <c r="BV222" s="174"/>
      <c r="BW222" s="117"/>
      <c r="BX222" s="180"/>
      <c r="BY222" s="117"/>
      <c r="BZ222" s="181"/>
      <c r="CA222" s="182"/>
      <c r="CB222" s="176"/>
      <c r="CC222" s="176"/>
      <c r="CF222" s="170"/>
      <c r="CG222" s="171"/>
      <c r="CH222" s="170"/>
      <c r="CI222" s="171"/>
    </row>
    <row r="223" spans="2:87" s="108" customFormat="1" ht="15" hidden="1" customHeight="1">
      <c r="B223" s="109"/>
      <c r="C223" s="141" t="e">
        <f t="shared" si="152"/>
        <v>#NUM!</v>
      </c>
      <c r="D223" s="141">
        <f t="shared" si="154"/>
        <v>0</v>
      </c>
      <c r="E223" s="141" t="str">
        <f>IFERROR(DGET($BV$30:$CC$82,F223,G222:G223),"")</f>
        <v/>
      </c>
      <c r="F223" s="142">
        <f t="shared" si="178"/>
        <v>0</v>
      </c>
      <c r="G223" s="142" t="b">
        <f>IF(Q223&gt;0,IF(AND(S223&gt;0,S223&lt;2),CONCATENATE(Q223," ","0-2"),IF(AND(S223&gt;=2,S223&lt;8),CONCATENATE(Q223," ","2-8"),)))</f>
        <v>0</v>
      </c>
      <c r="H223" s="80">
        <f t="shared" si="155"/>
        <v>0</v>
      </c>
      <c r="I223" s="80" t="str">
        <f t="shared" si="179"/>
        <v/>
      </c>
      <c r="J223" s="76"/>
      <c r="K223" s="76"/>
      <c r="L223" s="76"/>
      <c r="M223" s="80"/>
      <c r="N223" s="79"/>
      <c r="O223" s="148"/>
      <c r="P223" s="77">
        <f t="shared" si="180"/>
        <v>0</v>
      </c>
      <c r="Q223" s="81"/>
      <c r="R223" s="77"/>
      <c r="S223" s="146">
        <f t="shared" si="153"/>
        <v>0</v>
      </c>
      <c r="T223" s="141" t="b">
        <f t="shared" ref="T223:T286" si="194">IF(R223&gt;0,IF(R223&gt;=1.5,R223-1.5,0))</f>
        <v>0</v>
      </c>
      <c r="U223" s="649">
        <f t="shared" si="156"/>
        <v>0</v>
      </c>
      <c r="V223" s="650"/>
      <c r="W223" s="649">
        <f t="shared" si="157"/>
        <v>0</v>
      </c>
      <c r="X223" s="650"/>
      <c r="Y223" s="649">
        <f t="shared" si="158"/>
        <v>0</v>
      </c>
      <c r="Z223" s="650"/>
      <c r="AA223" s="649">
        <f t="shared" si="159"/>
        <v>0</v>
      </c>
      <c r="AB223" s="650"/>
      <c r="AC223" s="649">
        <f t="shared" si="160"/>
        <v>0</v>
      </c>
      <c r="AD223" s="650"/>
      <c r="AE223" s="649">
        <f t="shared" si="161"/>
        <v>0</v>
      </c>
      <c r="AF223" s="650"/>
      <c r="AG223" s="649">
        <f t="shared" si="162"/>
        <v>0</v>
      </c>
      <c r="AH223" s="650"/>
      <c r="AI223" s="649">
        <f t="shared" si="163"/>
        <v>0</v>
      </c>
      <c r="AJ223" s="650"/>
      <c r="AK223" s="649">
        <f t="shared" si="164"/>
        <v>0</v>
      </c>
      <c r="AL223" s="650"/>
      <c r="AM223" s="649">
        <f t="shared" si="165"/>
        <v>0</v>
      </c>
      <c r="AN223" s="650"/>
      <c r="AO223" s="649">
        <f t="shared" si="166"/>
        <v>0</v>
      </c>
      <c r="AP223" s="650"/>
      <c r="AQ223" s="649">
        <f t="shared" si="167"/>
        <v>0</v>
      </c>
      <c r="AR223" s="650"/>
      <c r="AS223" s="651">
        <f t="shared" si="168"/>
        <v>0</v>
      </c>
      <c r="AT223" s="652"/>
      <c r="AU223" s="141">
        <f t="shared" si="181"/>
        <v>0</v>
      </c>
      <c r="AV223" s="141">
        <f t="shared" si="182"/>
        <v>0</v>
      </c>
      <c r="AW223" s="141">
        <f t="shared" si="183"/>
        <v>0</v>
      </c>
      <c r="AX223" s="141">
        <f t="shared" si="184"/>
        <v>0</v>
      </c>
      <c r="AY223" s="141">
        <f t="shared" si="185"/>
        <v>0</v>
      </c>
      <c r="AZ223" s="141">
        <f t="shared" si="186"/>
        <v>0</v>
      </c>
      <c r="BA223" s="141">
        <f t="shared" si="187"/>
        <v>0</v>
      </c>
      <c r="BB223" s="141">
        <f t="shared" si="188"/>
        <v>0</v>
      </c>
      <c r="BC223" s="141">
        <f t="shared" si="189"/>
        <v>0</v>
      </c>
      <c r="BD223" s="141">
        <f t="shared" si="190"/>
        <v>0</v>
      </c>
      <c r="BE223" s="141">
        <f t="shared" si="191"/>
        <v>0</v>
      </c>
      <c r="BF223" s="141">
        <f t="shared" si="192"/>
        <v>0</v>
      </c>
      <c r="BG223" s="141">
        <f t="shared" si="169"/>
        <v>0</v>
      </c>
      <c r="BH223" s="141">
        <f t="shared" si="170"/>
        <v>0</v>
      </c>
      <c r="BI223" s="141">
        <f t="shared" si="193"/>
        <v>0</v>
      </c>
      <c r="BJ223" s="147">
        <f t="shared" si="171"/>
        <v>0</v>
      </c>
      <c r="BK223" s="141">
        <f t="shared" si="172"/>
        <v>0</v>
      </c>
      <c r="BL223" s="141">
        <f t="shared" si="173"/>
        <v>0</v>
      </c>
      <c r="BM223" s="141">
        <f t="shared" si="174"/>
        <v>0</v>
      </c>
      <c r="BN223" s="141">
        <f t="shared" si="175"/>
        <v>0</v>
      </c>
      <c r="BO223" s="141">
        <f t="shared" si="176"/>
        <v>0</v>
      </c>
      <c r="BP223" s="141">
        <f t="shared" si="177"/>
        <v>0</v>
      </c>
      <c r="BT223" s="177"/>
      <c r="BU223" s="173"/>
      <c r="BV223" s="174"/>
      <c r="BW223" s="117"/>
      <c r="BX223" s="180"/>
      <c r="BY223" s="117"/>
      <c r="BZ223" s="181"/>
      <c r="CA223" s="182"/>
      <c r="CB223" s="176"/>
      <c r="CC223" s="176"/>
      <c r="CF223" s="170"/>
      <c r="CG223" s="171"/>
      <c r="CH223" s="170"/>
      <c r="CI223" s="171"/>
    </row>
    <row r="224" spans="2:87" s="108" customFormat="1" ht="15" hidden="1" customHeight="1">
      <c r="B224" s="109"/>
      <c r="C224" s="141" t="e">
        <f t="shared" si="152"/>
        <v>#NUM!</v>
      </c>
      <c r="D224" s="141">
        <f t="shared" si="154"/>
        <v>0</v>
      </c>
      <c r="E224" s="141"/>
      <c r="F224" s="142">
        <f t="shared" si="178"/>
        <v>0</v>
      </c>
      <c r="G224" s="143" t="s">
        <v>146</v>
      </c>
      <c r="H224" s="80">
        <f t="shared" si="155"/>
        <v>0</v>
      </c>
      <c r="I224" s="80" t="str">
        <f t="shared" si="179"/>
        <v/>
      </c>
      <c r="J224" s="144"/>
      <c r="K224" s="144"/>
      <c r="L224" s="144"/>
      <c r="M224" s="76"/>
      <c r="N224" s="77"/>
      <c r="O224" s="145"/>
      <c r="P224" s="77">
        <f t="shared" si="180"/>
        <v>0</v>
      </c>
      <c r="Q224" s="78"/>
      <c r="R224" s="79"/>
      <c r="S224" s="146">
        <f t="shared" si="153"/>
        <v>0</v>
      </c>
      <c r="T224" s="141" t="b">
        <f t="shared" si="194"/>
        <v>0</v>
      </c>
      <c r="U224" s="649">
        <f t="shared" si="156"/>
        <v>0</v>
      </c>
      <c r="V224" s="650"/>
      <c r="W224" s="649">
        <f t="shared" si="157"/>
        <v>0</v>
      </c>
      <c r="X224" s="650"/>
      <c r="Y224" s="649">
        <f t="shared" si="158"/>
        <v>0</v>
      </c>
      <c r="Z224" s="650"/>
      <c r="AA224" s="649">
        <f t="shared" si="159"/>
        <v>0</v>
      </c>
      <c r="AB224" s="650"/>
      <c r="AC224" s="649">
        <f t="shared" si="160"/>
        <v>0</v>
      </c>
      <c r="AD224" s="650"/>
      <c r="AE224" s="649">
        <f t="shared" si="161"/>
        <v>0</v>
      </c>
      <c r="AF224" s="650"/>
      <c r="AG224" s="649">
        <f t="shared" si="162"/>
        <v>0</v>
      </c>
      <c r="AH224" s="650"/>
      <c r="AI224" s="649">
        <f t="shared" si="163"/>
        <v>0</v>
      </c>
      <c r="AJ224" s="650"/>
      <c r="AK224" s="649">
        <f t="shared" si="164"/>
        <v>0</v>
      </c>
      <c r="AL224" s="650"/>
      <c r="AM224" s="649">
        <f t="shared" si="165"/>
        <v>0</v>
      </c>
      <c r="AN224" s="650"/>
      <c r="AO224" s="649">
        <f t="shared" si="166"/>
        <v>0</v>
      </c>
      <c r="AP224" s="650"/>
      <c r="AQ224" s="649">
        <f t="shared" si="167"/>
        <v>0</v>
      </c>
      <c r="AR224" s="650"/>
      <c r="AS224" s="651">
        <f t="shared" si="168"/>
        <v>0</v>
      </c>
      <c r="AT224" s="652"/>
      <c r="AU224" s="141">
        <f t="shared" si="181"/>
        <v>0</v>
      </c>
      <c r="AV224" s="141">
        <f t="shared" si="182"/>
        <v>0</v>
      </c>
      <c r="AW224" s="141">
        <f t="shared" si="183"/>
        <v>0</v>
      </c>
      <c r="AX224" s="141">
        <f t="shared" si="184"/>
        <v>0</v>
      </c>
      <c r="AY224" s="141">
        <f t="shared" si="185"/>
        <v>0</v>
      </c>
      <c r="AZ224" s="141">
        <f t="shared" si="186"/>
        <v>0</v>
      </c>
      <c r="BA224" s="141">
        <f t="shared" si="187"/>
        <v>0</v>
      </c>
      <c r="BB224" s="141">
        <f t="shared" si="188"/>
        <v>0</v>
      </c>
      <c r="BC224" s="141">
        <f t="shared" si="189"/>
        <v>0</v>
      </c>
      <c r="BD224" s="141">
        <f t="shared" si="190"/>
        <v>0</v>
      </c>
      <c r="BE224" s="141">
        <f t="shared" si="191"/>
        <v>0</v>
      </c>
      <c r="BF224" s="141">
        <f t="shared" si="192"/>
        <v>0</v>
      </c>
      <c r="BG224" s="141">
        <f t="shared" si="169"/>
        <v>0</v>
      </c>
      <c r="BH224" s="141">
        <f t="shared" si="170"/>
        <v>0</v>
      </c>
      <c r="BI224" s="141">
        <f t="shared" si="193"/>
        <v>0</v>
      </c>
      <c r="BJ224" s="147">
        <f t="shared" si="171"/>
        <v>0</v>
      </c>
      <c r="BK224" s="141">
        <f t="shared" si="172"/>
        <v>0</v>
      </c>
      <c r="BL224" s="141">
        <f t="shared" si="173"/>
        <v>0</v>
      </c>
      <c r="BM224" s="141">
        <f t="shared" si="174"/>
        <v>0</v>
      </c>
      <c r="BN224" s="141">
        <f t="shared" si="175"/>
        <v>0</v>
      </c>
      <c r="BO224" s="141">
        <f t="shared" si="176"/>
        <v>0</v>
      </c>
      <c r="BP224" s="141">
        <f t="shared" si="177"/>
        <v>0</v>
      </c>
      <c r="BT224" s="177"/>
      <c r="BU224" s="173"/>
      <c r="BV224" s="174"/>
      <c r="BW224" s="117"/>
      <c r="BX224" s="180"/>
      <c r="BY224" s="117"/>
      <c r="BZ224" s="181"/>
      <c r="CA224" s="182"/>
      <c r="CB224" s="176"/>
      <c r="CC224" s="176"/>
      <c r="CF224" s="170"/>
      <c r="CG224" s="171"/>
      <c r="CH224" s="170"/>
      <c r="CI224" s="171"/>
    </row>
    <row r="225" spans="2:87" s="108" customFormat="1" ht="15" hidden="1" customHeight="1">
      <c r="B225" s="109"/>
      <c r="C225" s="141" t="e">
        <f t="shared" si="152"/>
        <v>#NUM!</v>
      </c>
      <c r="D225" s="141">
        <f t="shared" si="154"/>
        <v>0</v>
      </c>
      <c r="E225" s="141" t="str">
        <f>IFERROR(DGET($BV$30:$CC$82,F225,G224:G225),"")</f>
        <v/>
      </c>
      <c r="F225" s="142">
        <f t="shared" si="178"/>
        <v>0</v>
      </c>
      <c r="G225" s="142" t="b">
        <f>IF(Q225&gt;0,IF(AND(S225&gt;0,S225&lt;2),CONCATENATE(Q225," ","0-2"),IF(AND(S225&gt;=2,S225&lt;8),CONCATENATE(Q225," ","2-8"),)))</f>
        <v>0</v>
      </c>
      <c r="H225" s="80">
        <f t="shared" si="155"/>
        <v>0</v>
      </c>
      <c r="I225" s="80" t="str">
        <f t="shared" si="179"/>
        <v/>
      </c>
      <c r="J225" s="76"/>
      <c r="K225" s="76"/>
      <c r="L225" s="76"/>
      <c r="M225" s="80"/>
      <c r="N225" s="79"/>
      <c r="O225" s="148"/>
      <c r="P225" s="77">
        <f t="shared" si="180"/>
        <v>0</v>
      </c>
      <c r="Q225" s="81"/>
      <c r="R225" s="77"/>
      <c r="S225" s="146">
        <f t="shared" si="153"/>
        <v>0</v>
      </c>
      <c r="T225" s="141" t="b">
        <f t="shared" si="194"/>
        <v>0</v>
      </c>
      <c r="U225" s="649">
        <f t="shared" si="156"/>
        <v>0</v>
      </c>
      <c r="V225" s="650"/>
      <c r="W225" s="649">
        <f t="shared" si="157"/>
        <v>0</v>
      </c>
      <c r="X225" s="650"/>
      <c r="Y225" s="649">
        <f t="shared" si="158"/>
        <v>0</v>
      </c>
      <c r="Z225" s="650"/>
      <c r="AA225" s="649">
        <f t="shared" si="159"/>
        <v>0</v>
      </c>
      <c r="AB225" s="650"/>
      <c r="AC225" s="649">
        <f t="shared" si="160"/>
        <v>0</v>
      </c>
      <c r="AD225" s="650"/>
      <c r="AE225" s="649">
        <f t="shared" si="161"/>
        <v>0</v>
      </c>
      <c r="AF225" s="650"/>
      <c r="AG225" s="649">
        <f t="shared" si="162"/>
        <v>0</v>
      </c>
      <c r="AH225" s="650"/>
      <c r="AI225" s="649">
        <f t="shared" si="163"/>
        <v>0</v>
      </c>
      <c r="AJ225" s="650"/>
      <c r="AK225" s="649">
        <f t="shared" si="164"/>
        <v>0</v>
      </c>
      <c r="AL225" s="650"/>
      <c r="AM225" s="649">
        <f t="shared" si="165"/>
        <v>0</v>
      </c>
      <c r="AN225" s="650"/>
      <c r="AO225" s="649">
        <f t="shared" si="166"/>
        <v>0</v>
      </c>
      <c r="AP225" s="650"/>
      <c r="AQ225" s="649">
        <f t="shared" si="167"/>
        <v>0</v>
      </c>
      <c r="AR225" s="650"/>
      <c r="AS225" s="651">
        <f t="shared" si="168"/>
        <v>0</v>
      </c>
      <c r="AT225" s="652"/>
      <c r="AU225" s="141">
        <f t="shared" si="181"/>
        <v>0</v>
      </c>
      <c r="AV225" s="141">
        <f t="shared" si="182"/>
        <v>0</v>
      </c>
      <c r="AW225" s="141">
        <f t="shared" si="183"/>
        <v>0</v>
      </c>
      <c r="AX225" s="141">
        <f t="shared" si="184"/>
        <v>0</v>
      </c>
      <c r="AY225" s="141">
        <f t="shared" si="185"/>
        <v>0</v>
      </c>
      <c r="AZ225" s="141">
        <f t="shared" si="186"/>
        <v>0</v>
      </c>
      <c r="BA225" s="141">
        <f t="shared" si="187"/>
        <v>0</v>
      </c>
      <c r="BB225" s="141">
        <f t="shared" si="188"/>
        <v>0</v>
      </c>
      <c r="BC225" s="141">
        <f t="shared" si="189"/>
        <v>0</v>
      </c>
      <c r="BD225" s="141">
        <f t="shared" si="190"/>
        <v>0</v>
      </c>
      <c r="BE225" s="141">
        <f t="shared" si="191"/>
        <v>0</v>
      </c>
      <c r="BF225" s="141">
        <f t="shared" si="192"/>
        <v>0</v>
      </c>
      <c r="BG225" s="141">
        <f t="shared" si="169"/>
        <v>0</v>
      </c>
      <c r="BH225" s="141">
        <f t="shared" si="170"/>
        <v>0</v>
      </c>
      <c r="BI225" s="141">
        <f t="shared" si="193"/>
        <v>0</v>
      </c>
      <c r="BJ225" s="147">
        <f t="shared" si="171"/>
        <v>0</v>
      </c>
      <c r="BK225" s="141">
        <f t="shared" si="172"/>
        <v>0</v>
      </c>
      <c r="BL225" s="141">
        <f t="shared" si="173"/>
        <v>0</v>
      </c>
      <c r="BM225" s="141">
        <f t="shared" si="174"/>
        <v>0</v>
      </c>
      <c r="BN225" s="141">
        <f t="shared" si="175"/>
        <v>0</v>
      </c>
      <c r="BO225" s="141">
        <f t="shared" si="176"/>
        <v>0</v>
      </c>
      <c r="BP225" s="141">
        <f t="shared" si="177"/>
        <v>0</v>
      </c>
      <c r="BT225" s="177"/>
      <c r="BU225" s="173"/>
      <c r="BV225" s="174"/>
      <c r="BW225" s="117"/>
      <c r="BX225" s="180"/>
      <c r="BY225" s="117"/>
      <c r="BZ225" s="181"/>
      <c r="CA225" s="182"/>
      <c r="CB225" s="176"/>
      <c r="CC225" s="176"/>
      <c r="CF225" s="170"/>
      <c r="CG225" s="171"/>
      <c r="CH225" s="170"/>
      <c r="CI225" s="171"/>
    </row>
    <row r="226" spans="2:87" s="108" customFormat="1" ht="15" hidden="1" customHeight="1">
      <c r="B226" s="109"/>
      <c r="C226" s="141" t="e">
        <f t="shared" si="152"/>
        <v>#NUM!</v>
      </c>
      <c r="D226" s="141">
        <f t="shared" si="154"/>
        <v>0</v>
      </c>
      <c r="E226" s="141"/>
      <c r="F226" s="142">
        <f t="shared" si="178"/>
        <v>0</v>
      </c>
      <c r="G226" s="143" t="s">
        <v>146</v>
      </c>
      <c r="H226" s="80">
        <f t="shared" si="155"/>
        <v>0</v>
      </c>
      <c r="I226" s="80" t="str">
        <f t="shared" si="179"/>
        <v/>
      </c>
      <c r="J226" s="144"/>
      <c r="K226" s="144"/>
      <c r="L226" s="144"/>
      <c r="M226" s="76"/>
      <c r="N226" s="77"/>
      <c r="O226" s="145"/>
      <c r="P226" s="77">
        <f t="shared" si="180"/>
        <v>0</v>
      </c>
      <c r="Q226" s="78"/>
      <c r="R226" s="79"/>
      <c r="S226" s="146">
        <f t="shared" si="153"/>
        <v>0</v>
      </c>
      <c r="T226" s="141" t="b">
        <f t="shared" si="194"/>
        <v>0</v>
      </c>
      <c r="U226" s="649">
        <f t="shared" si="156"/>
        <v>0</v>
      </c>
      <c r="V226" s="650"/>
      <c r="W226" s="649">
        <f t="shared" si="157"/>
        <v>0</v>
      </c>
      <c r="X226" s="650"/>
      <c r="Y226" s="649">
        <f t="shared" si="158"/>
        <v>0</v>
      </c>
      <c r="Z226" s="650"/>
      <c r="AA226" s="649">
        <f t="shared" si="159"/>
        <v>0</v>
      </c>
      <c r="AB226" s="650"/>
      <c r="AC226" s="649">
        <f t="shared" si="160"/>
        <v>0</v>
      </c>
      <c r="AD226" s="650"/>
      <c r="AE226" s="649">
        <f t="shared" si="161"/>
        <v>0</v>
      </c>
      <c r="AF226" s="650"/>
      <c r="AG226" s="649">
        <f t="shared" si="162"/>
        <v>0</v>
      </c>
      <c r="AH226" s="650"/>
      <c r="AI226" s="649">
        <f t="shared" si="163"/>
        <v>0</v>
      </c>
      <c r="AJ226" s="650"/>
      <c r="AK226" s="649">
        <f t="shared" si="164"/>
        <v>0</v>
      </c>
      <c r="AL226" s="650"/>
      <c r="AM226" s="649">
        <f t="shared" si="165"/>
        <v>0</v>
      </c>
      <c r="AN226" s="650"/>
      <c r="AO226" s="649">
        <f t="shared" si="166"/>
        <v>0</v>
      </c>
      <c r="AP226" s="650"/>
      <c r="AQ226" s="649">
        <f t="shared" si="167"/>
        <v>0</v>
      </c>
      <c r="AR226" s="650"/>
      <c r="AS226" s="651">
        <f t="shared" si="168"/>
        <v>0</v>
      </c>
      <c r="AT226" s="652"/>
      <c r="AU226" s="141">
        <f t="shared" si="181"/>
        <v>0</v>
      </c>
      <c r="AV226" s="141">
        <f t="shared" si="182"/>
        <v>0</v>
      </c>
      <c r="AW226" s="141">
        <f t="shared" si="183"/>
        <v>0</v>
      </c>
      <c r="AX226" s="141">
        <f t="shared" si="184"/>
        <v>0</v>
      </c>
      <c r="AY226" s="141">
        <f t="shared" si="185"/>
        <v>0</v>
      </c>
      <c r="AZ226" s="141">
        <f t="shared" si="186"/>
        <v>0</v>
      </c>
      <c r="BA226" s="141">
        <f t="shared" si="187"/>
        <v>0</v>
      </c>
      <c r="BB226" s="141">
        <f t="shared" si="188"/>
        <v>0</v>
      </c>
      <c r="BC226" s="141">
        <f t="shared" si="189"/>
        <v>0</v>
      </c>
      <c r="BD226" s="141">
        <f t="shared" si="190"/>
        <v>0</v>
      </c>
      <c r="BE226" s="141">
        <f t="shared" si="191"/>
        <v>0</v>
      </c>
      <c r="BF226" s="141">
        <f t="shared" si="192"/>
        <v>0</v>
      </c>
      <c r="BG226" s="141">
        <f t="shared" si="169"/>
        <v>0</v>
      </c>
      <c r="BH226" s="141">
        <f t="shared" si="170"/>
        <v>0</v>
      </c>
      <c r="BI226" s="141">
        <f t="shared" si="193"/>
        <v>0</v>
      </c>
      <c r="BJ226" s="147">
        <f t="shared" si="171"/>
        <v>0</v>
      </c>
      <c r="BK226" s="141">
        <f t="shared" si="172"/>
        <v>0</v>
      </c>
      <c r="BL226" s="141">
        <f t="shared" si="173"/>
        <v>0</v>
      </c>
      <c r="BM226" s="141">
        <f t="shared" si="174"/>
        <v>0</v>
      </c>
      <c r="BN226" s="141">
        <f t="shared" si="175"/>
        <v>0</v>
      </c>
      <c r="BO226" s="141">
        <f t="shared" si="176"/>
        <v>0</v>
      </c>
      <c r="BP226" s="141">
        <f t="shared" si="177"/>
        <v>0</v>
      </c>
      <c r="BT226" s="177"/>
      <c r="BU226" s="173"/>
      <c r="BV226" s="174"/>
      <c r="BW226" s="117"/>
      <c r="BX226" s="180"/>
      <c r="BY226" s="117"/>
      <c r="BZ226" s="181"/>
      <c r="CA226" s="182"/>
      <c r="CB226" s="176"/>
      <c r="CC226" s="176"/>
      <c r="CF226" s="170"/>
      <c r="CG226" s="171"/>
      <c r="CH226" s="170"/>
      <c r="CI226" s="171"/>
    </row>
    <row r="227" spans="2:87" s="108" customFormat="1" ht="15" hidden="1" customHeight="1">
      <c r="B227" s="109"/>
      <c r="C227" s="141" t="e">
        <f t="shared" si="152"/>
        <v>#NUM!</v>
      </c>
      <c r="D227" s="141">
        <f t="shared" si="154"/>
        <v>0</v>
      </c>
      <c r="E227" s="141" t="str">
        <f>IFERROR(DGET($BV$30:$CC$82,F227,G226:G227),"")</f>
        <v/>
      </c>
      <c r="F227" s="142">
        <f t="shared" si="178"/>
        <v>0</v>
      </c>
      <c r="G227" s="142" t="b">
        <f>IF(Q227&gt;0,IF(AND(S227&gt;0,S227&lt;2),CONCATENATE(Q227," ","0-2"),IF(AND(S227&gt;=2,S227&lt;8),CONCATENATE(Q227," ","2-8"),)))</f>
        <v>0</v>
      </c>
      <c r="H227" s="80">
        <f t="shared" si="155"/>
        <v>0</v>
      </c>
      <c r="I227" s="80" t="str">
        <f t="shared" si="179"/>
        <v/>
      </c>
      <c r="J227" s="76"/>
      <c r="K227" s="76"/>
      <c r="L227" s="76"/>
      <c r="M227" s="80"/>
      <c r="N227" s="79"/>
      <c r="O227" s="148"/>
      <c r="P227" s="77">
        <f t="shared" si="180"/>
        <v>0</v>
      </c>
      <c r="Q227" s="81"/>
      <c r="R227" s="77"/>
      <c r="S227" s="146">
        <f t="shared" si="153"/>
        <v>0</v>
      </c>
      <c r="T227" s="141" t="b">
        <f t="shared" si="194"/>
        <v>0</v>
      </c>
      <c r="U227" s="649">
        <f t="shared" si="156"/>
        <v>0</v>
      </c>
      <c r="V227" s="650"/>
      <c r="W227" s="649">
        <f t="shared" si="157"/>
        <v>0</v>
      </c>
      <c r="X227" s="650"/>
      <c r="Y227" s="649">
        <f t="shared" si="158"/>
        <v>0</v>
      </c>
      <c r="Z227" s="650"/>
      <c r="AA227" s="649">
        <f t="shared" si="159"/>
        <v>0</v>
      </c>
      <c r="AB227" s="650"/>
      <c r="AC227" s="649">
        <f t="shared" si="160"/>
        <v>0</v>
      </c>
      <c r="AD227" s="650"/>
      <c r="AE227" s="649">
        <f t="shared" si="161"/>
        <v>0</v>
      </c>
      <c r="AF227" s="650"/>
      <c r="AG227" s="649">
        <f t="shared" si="162"/>
        <v>0</v>
      </c>
      <c r="AH227" s="650"/>
      <c r="AI227" s="649">
        <f t="shared" si="163"/>
        <v>0</v>
      </c>
      <c r="AJ227" s="650"/>
      <c r="AK227" s="649">
        <f t="shared" si="164"/>
        <v>0</v>
      </c>
      <c r="AL227" s="650"/>
      <c r="AM227" s="649">
        <f t="shared" si="165"/>
        <v>0</v>
      </c>
      <c r="AN227" s="650"/>
      <c r="AO227" s="649">
        <f t="shared" si="166"/>
        <v>0</v>
      </c>
      <c r="AP227" s="650"/>
      <c r="AQ227" s="649">
        <f t="shared" si="167"/>
        <v>0</v>
      </c>
      <c r="AR227" s="650"/>
      <c r="AS227" s="651">
        <f t="shared" si="168"/>
        <v>0</v>
      </c>
      <c r="AT227" s="652"/>
      <c r="AU227" s="141">
        <f t="shared" si="181"/>
        <v>0</v>
      </c>
      <c r="AV227" s="141">
        <f t="shared" si="182"/>
        <v>0</v>
      </c>
      <c r="AW227" s="141">
        <f t="shared" si="183"/>
        <v>0</v>
      </c>
      <c r="AX227" s="141">
        <f t="shared" si="184"/>
        <v>0</v>
      </c>
      <c r="AY227" s="141">
        <f t="shared" si="185"/>
        <v>0</v>
      </c>
      <c r="AZ227" s="141">
        <f t="shared" si="186"/>
        <v>0</v>
      </c>
      <c r="BA227" s="141">
        <f t="shared" si="187"/>
        <v>0</v>
      </c>
      <c r="BB227" s="141">
        <f t="shared" si="188"/>
        <v>0</v>
      </c>
      <c r="BC227" s="141">
        <f t="shared" si="189"/>
        <v>0</v>
      </c>
      <c r="BD227" s="141">
        <f t="shared" si="190"/>
        <v>0</v>
      </c>
      <c r="BE227" s="141">
        <f t="shared" si="191"/>
        <v>0</v>
      </c>
      <c r="BF227" s="141">
        <f t="shared" si="192"/>
        <v>0</v>
      </c>
      <c r="BG227" s="141">
        <f t="shared" si="169"/>
        <v>0</v>
      </c>
      <c r="BH227" s="141">
        <f t="shared" si="170"/>
        <v>0</v>
      </c>
      <c r="BI227" s="141">
        <f t="shared" si="193"/>
        <v>0</v>
      </c>
      <c r="BJ227" s="147">
        <f t="shared" si="171"/>
        <v>0</v>
      </c>
      <c r="BK227" s="141">
        <f t="shared" si="172"/>
        <v>0</v>
      </c>
      <c r="BL227" s="141">
        <f t="shared" si="173"/>
        <v>0</v>
      </c>
      <c r="BM227" s="141">
        <f t="shared" si="174"/>
        <v>0</v>
      </c>
      <c r="BN227" s="141">
        <f t="shared" si="175"/>
        <v>0</v>
      </c>
      <c r="BO227" s="141">
        <f t="shared" si="176"/>
        <v>0</v>
      </c>
      <c r="BP227" s="141">
        <f t="shared" si="177"/>
        <v>0</v>
      </c>
      <c r="BT227" s="177"/>
      <c r="BU227" s="173"/>
      <c r="BV227" s="174"/>
      <c r="BW227" s="117"/>
      <c r="BX227" s="180"/>
      <c r="BY227" s="117"/>
      <c r="BZ227" s="181"/>
      <c r="CA227" s="182"/>
      <c r="CB227" s="176"/>
      <c r="CC227" s="176"/>
      <c r="CF227" s="170"/>
      <c r="CG227" s="171"/>
      <c r="CH227" s="170"/>
      <c r="CI227" s="171"/>
    </row>
    <row r="228" spans="2:87" s="108" customFormat="1" ht="15" hidden="1" customHeight="1">
      <c r="B228" s="109"/>
      <c r="C228" s="141" t="e">
        <f t="shared" si="152"/>
        <v>#NUM!</v>
      </c>
      <c r="D228" s="141">
        <f t="shared" si="154"/>
        <v>0</v>
      </c>
      <c r="E228" s="141"/>
      <c r="F228" s="142">
        <f t="shared" si="178"/>
        <v>0</v>
      </c>
      <c r="G228" s="143" t="s">
        <v>146</v>
      </c>
      <c r="H228" s="80">
        <f t="shared" si="155"/>
        <v>0</v>
      </c>
      <c r="I228" s="80" t="str">
        <f t="shared" si="179"/>
        <v/>
      </c>
      <c r="J228" s="144"/>
      <c r="K228" s="144"/>
      <c r="L228" s="144"/>
      <c r="M228" s="76"/>
      <c r="N228" s="77"/>
      <c r="O228" s="145"/>
      <c r="P228" s="77">
        <f t="shared" si="180"/>
        <v>0</v>
      </c>
      <c r="Q228" s="78"/>
      <c r="R228" s="79"/>
      <c r="S228" s="146">
        <f t="shared" si="153"/>
        <v>0</v>
      </c>
      <c r="T228" s="141" t="b">
        <f t="shared" si="194"/>
        <v>0</v>
      </c>
      <c r="U228" s="649">
        <f t="shared" si="156"/>
        <v>0</v>
      </c>
      <c r="V228" s="650"/>
      <c r="W228" s="649">
        <f t="shared" si="157"/>
        <v>0</v>
      </c>
      <c r="X228" s="650"/>
      <c r="Y228" s="649">
        <f t="shared" si="158"/>
        <v>0</v>
      </c>
      <c r="Z228" s="650"/>
      <c r="AA228" s="649">
        <f t="shared" si="159"/>
        <v>0</v>
      </c>
      <c r="AB228" s="650"/>
      <c r="AC228" s="649">
        <f t="shared" si="160"/>
        <v>0</v>
      </c>
      <c r="AD228" s="650"/>
      <c r="AE228" s="649">
        <f t="shared" si="161"/>
        <v>0</v>
      </c>
      <c r="AF228" s="650"/>
      <c r="AG228" s="649">
        <f t="shared" si="162"/>
        <v>0</v>
      </c>
      <c r="AH228" s="650"/>
      <c r="AI228" s="649">
        <f t="shared" si="163"/>
        <v>0</v>
      </c>
      <c r="AJ228" s="650"/>
      <c r="AK228" s="649">
        <f t="shared" si="164"/>
        <v>0</v>
      </c>
      <c r="AL228" s="650"/>
      <c r="AM228" s="649">
        <f t="shared" si="165"/>
        <v>0</v>
      </c>
      <c r="AN228" s="650"/>
      <c r="AO228" s="649">
        <f t="shared" si="166"/>
        <v>0</v>
      </c>
      <c r="AP228" s="650"/>
      <c r="AQ228" s="649">
        <f t="shared" si="167"/>
        <v>0</v>
      </c>
      <c r="AR228" s="650"/>
      <c r="AS228" s="651">
        <f t="shared" si="168"/>
        <v>0</v>
      </c>
      <c r="AT228" s="652"/>
      <c r="AU228" s="141">
        <f t="shared" si="181"/>
        <v>0</v>
      </c>
      <c r="AV228" s="141">
        <f t="shared" si="182"/>
        <v>0</v>
      </c>
      <c r="AW228" s="141">
        <f t="shared" si="183"/>
        <v>0</v>
      </c>
      <c r="AX228" s="141">
        <f t="shared" si="184"/>
        <v>0</v>
      </c>
      <c r="AY228" s="141">
        <f t="shared" si="185"/>
        <v>0</v>
      </c>
      <c r="AZ228" s="141">
        <f t="shared" si="186"/>
        <v>0</v>
      </c>
      <c r="BA228" s="141">
        <f t="shared" si="187"/>
        <v>0</v>
      </c>
      <c r="BB228" s="141">
        <f t="shared" si="188"/>
        <v>0</v>
      </c>
      <c r="BC228" s="141">
        <f t="shared" si="189"/>
        <v>0</v>
      </c>
      <c r="BD228" s="141">
        <f t="shared" si="190"/>
        <v>0</v>
      </c>
      <c r="BE228" s="141">
        <f t="shared" si="191"/>
        <v>0</v>
      </c>
      <c r="BF228" s="141">
        <f t="shared" si="192"/>
        <v>0</v>
      </c>
      <c r="BG228" s="141">
        <f t="shared" si="169"/>
        <v>0</v>
      </c>
      <c r="BH228" s="141">
        <f t="shared" si="170"/>
        <v>0</v>
      </c>
      <c r="BI228" s="141">
        <f t="shared" si="193"/>
        <v>0</v>
      </c>
      <c r="BJ228" s="147">
        <f t="shared" si="171"/>
        <v>0</v>
      </c>
      <c r="BK228" s="141">
        <f t="shared" si="172"/>
        <v>0</v>
      </c>
      <c r="BL228" s="141">
        <f t="shared" si="173"/>
        <v>0</v>
      </c>
      <c r="BM228" s="141">
        <f t="shared" si="174"/>
        <v>0</v>
      </c>
      <c r="BN228" s="141">
        <f t="shared" si="175"/>
        <v>0</v>
      </c>
      <c r="BO228" s="141">
        <f t="shared" si="176"/>
        <v>0</v>
      </c>
      <c r="BP228" s="141">
        <f t="shared" si="177"/>
        <v>0</v>
      </c>
      <c r="BT228" s="177"/>
      <c r="BU228" s="173"/>
      <c r="BV228" s="174"/>
      <c r="BW228" s="117"/>
      <c r="BX228" s="180"/>
      <c r="BY228" s="117"/>
      <c r="BZ228" s="181"/>
      <c r="CA228" s="182"/>
      <c r="CB228" s="176"/>
      <c r="CC228" s="176"/>
      <c r="CF228" s="170"/>
      <c r="CG228" s="171"/>
      <c r="CH228" s="170"/>
      <c r="CI228" s="171"/>
    </row>
    <row r="229" spans="2:87" s="108" customFormat="1" ht="15" hidden="1" customHeight="1">
      <c r="B229" s="109"/>
      <c r="C229" s="141" t="e">
        <f t="shared" si="152"/>
        <v>#NUM!</v>
      </c>
      <c r="D229" s="141">
        <f t="shared" si="154"/>
        <v>0</v>
      </c>
      <c r="E229" s="141" t="str">
        <f>IFERROR(DGET($BV$30:$CC$82,F229,G228:G229),"")</f>
        <v/>
      </c>
      <c r="F229" s="142">
        <f t="shared" si="178"/>
        <v>0</v>
      </c>
      <c r="G229" s="142" t="b">
        <f>IF(Q229&gt;0,IF(AND(S229&gt;0,S229&lt;2),CONCATENATE(Q229," ","0-2"),IF(AND(S229&gt;=2,S229&lt;8),CONCATENATE(Q229," ","2-8"),)))</f>
        <v>0</v>
      </c>
      <c r="H229" s="80">
        <f t="shared" si="155"/>
        <v>0</v>
      </c>
      <c r="I229" s="80" t="str">
        <f t="shared" si="179"/>
        <v/>
      </c>
      <c r="J229" s="76"/>
      <c r="K229" s="76"/>
      <c r="L229" s="76"/>
      <c r="M229" s="80"/>
      <c r="N229" s="79"/>
      <c r="O229" s="148"/>
      <c r="P229" s="77">
        <f t="shared" si="180"/>
        <v>0</v>
      </c>
      <c r="Q229" s="81"/>
      <c r="R229" s="77"/>
      <c r="S229" s="146">
        <f t="shared" si="153"/>
        <v>0</v>
      </c>
      <c r="T229" s="141" t="b">
        <f t="shared" si="194"/>
        <v>0</v>
      </c>
      <c r="U229" s="649">
        <f t="shared" si="156"/>
        <v>0</v>
      </c>
      <c r="V229" s="650"/>
      <c r="W229" s="649">
        <f t="shared" si="157"/>
        <v>0</v>
      </c>
      <c r="X229" s="650"/>
      <c r="Y229" s="649">
        <f t="shared" si="158"/>
        <v>0</v>
      </c>
      <c r="Z229" s="650"/>
      <c r="AA229" s="649">
        <f t="shared" si="159"/>
        <v>0</v>
      </c>
      <c r="AB229" s="650"/>
      <c r="AC229" s="649">
        <f t="shared" si="160"/>
        <v>0</v>
      </c>
      <c r="AD229" s="650"/>
      <c r="AE229" s="649">
        <f t="shared" si="161"/>
        <v>0</v>
      </c>
      <c r="AF229" s="650"/>
      <c r="AG229" s="649">
        <f t="shared" si="162"/>
        <v>0</v>
      </c>
      <c r="AH229" s="650"/>
      <c r="AI229" s="649">
        <f t="shared" si="163"/>
        <v>0</v>
      </c>
      <c r="AJ229" s="650"/>
      <c r="AK229" s="649">
        <f t="shared" si="164"/>
        <v>0</v>
      </c>
      <c r="AL229" s="650"/>
      <c r="AM229" s="649">
        <f t="shared" si="165"/>
        <v>0</v>
      </c>
      <c r="AN229" s="650"/>
      <c r="AO229" s="649">
        <f t="shared" si="166"/>
        <v>0</v>
      </c>
      <c r="AP229" s="650"/>
      <c r="AQ229" s="649">
        <f t="shared" si="167"/>
        <v>0</v>
      </c>
      <c r="AR229" s="650"/>
      <c r="AS229" s="651">
        <f t="shared" si="168"/>
        <v>0</v>
      </c>
      <c r="AT229" s="652"/>
      <c r="AU229" s="141">
        <f t="shared" si="181"/>
        <v>0</v>
      </c>
      <c r="AV229" s="141">
        <f t="shared" si="182"/>
        <v>0</v>
      </c>
      <c r="AW229" s="141">
        <f t="shared" si="183"/>
        <v>0</v>
      </c>
      <c r="AX229" s="141">
        <f t="shared" si="184"/>
        <v>0</v>
      </c>
      <c r="AY229" s="141">
        <f t="shared" si="185"/>
        <v>0</v>
      </c>
      <c r="AZ229" s="141">
        <f t="shared" si="186"/>
        <v>0</v>
      </c>
      <c r="BA229" s="141">
        <f t="shared" si="187"/>
        <v>0</v>
      </c>
      <c r="BB229" s="141">
        <f t="shared" si="188"/>
        <v>0</v>
      </c>
      <c r="BC229" s="141">
        <f t="shared" si="189"/>
        <v>0</v>
      </c>
      <c r="BD229" s="141">
        <f t="shared" si="190"/>
        <v>0</v>
      </c>
      <c r="BE229" s="141">
        <f t="shared" si="191"/>
        <v>0</v>
      </c>
      <c r="BF229" s="141">
        <f t="shared" si="192"/>
        <v>0</v>
      </c>
      <c r="BG229" s="141">
        <f t="shared" si="169"/>
        <v>0</v>
      </c>
      <c r="BH229" s="141">
        <f t="shared" si="170"/>
        <v>0</v>
      </c>
      <c r="BI229" s="141">
        <f t="shared" si="193"/>
        <v>0</v>
      </c>
      <c r="BJ229" s="147">
        <f t="shared" si="171"/>
        <v>0</v>
      </c>
      <c r="BK229" s="141">
        <f t="shared" si="172"/>
        <v>0</v>
      </c>
      <c r="BL229" s="141">
        <f t="shared" si="173"/>
        <v>0</v>
      </c>
      <c r="BM229" s="141">
        <f t="shared" si="174"/>
        <v>0</v>
      </c>
      <c r="BN229" s="141">
        <f t="shared" si="175"/>
        <v>0</v>
      </c>
      <c r="BO229" s="141">
        <f t="shared" si="176"/>
        <v>0</v>
      </c>
      <c r="BP229" s="141">
        <f t="shared" si="177"/>
        <v>0</v>
      </c>
      <c r="BT229" s="177"/>
      <c r="BU229" s="173"/>
      <c r="BV229" s="174"/>
      <c r="BW229" s="117"/>
      <c r="BX229" s="180"/>
      <c r="BY229" s="117"/>
      <c r="BZ229" s="181"/>
      <c r="CA229" s="182"/>
      <c r="CB229" s="176"/>
      <c r="CC229" s="176"/>
      <c r="CF229" s="170"/>
      <c r="CG229" s="171"/>
      <c r="CH229" s="170"/>
      <c r="CI229" s="171"/>
    </row>
    <row r="230" spans="2:87" s="108" customFormat="1" ht="15" hidden="1" customHeight="1">
      <c r="B230" s="109"/>
      <c r="C230" s="141" t="e">
        <f t="shared" si="152"/>
        <v>#NUM!</v>
      </c>
      <c r="D230" s="141">
        <f t="shared" si="154"/>
        <v>0</v>
      </c>
      <c r="E230" s="141"/>
      <c r="F230" s="142">
        <f t="shared" si="178"/>
        <v>0</v>
      </c>
      <c r="G230" s="143" t="s">
        <v>146</v>
      </c>
      <c r="H230" s="80">
        <f t="shared" si="155"/>
        <v>0</v>
      </c>
      <c r="I230" s="80" t="str">
        <f t="shared" si="179"/>
        <v/>
      </c>
      <c r="J230" s="144"/>
      <c r="K230" s="144"/>
      <c r="L230" s="144"/>
      <c r="M230" s="76"/>
      <c r="N230" s="77"/>
      <c r="O230" s="145"/>
      <c r="P230" s="77">
        <f t="shared" si="180"/>
        <v>0</v>
      </c>
      <c r="Q230" s="78"/>
      <c r="R230" s="79"/>
      <c r="S230" s="146">
        <f t="shared" si="153"/>
        <v>0</v>
      </c>
      <c r="T230" s="141" t="b">
        <f t="shared" si="194"/>
        <v>0</v>
      </c>
      <c r="U230" s="649">
        <f t="shared" si="156"/>
        <v>0</v>
      </c>
      <c r="V230" s="650"/>
      <c r="W230" s="649">
        <f t="shared" si="157"/>
        <v>0</v>
      </c>
      <c r="X230" s="650"/>
      <c r="Y230" s="649">
        <f t="shared" si="158"/>
        <v>0</v>
      </c>
      <c r="Z230" s="650"/>
      <c r="AA230" s="649">
        <f t="shared" si="159"/>
        <v>0</v>
      </c>
      <c r="AB230" s="650"/>
      <c r="AC230" s="649">
        <f t="shared" si="160"/>
        <v>0</v>
      </c>
      <c r="AD230" s="650"/>
      <c r="AE230" s="649">
        <f t="shared" si="161"/>
        <v>0</v>
      </c>
      <c r="AF230" s="650"/>
      <c r="AG230" s="649">
        <f t="shared" si="162"/>
        <v>0</v>
      </c>
      <c r="AH230" s="650"/>
      <c r="AI230" s="649">
        <f t="shared" si="163"/>
        <v>0</v>
      </c>
      <c r="AJ230" s="650"/>
      <c r="AK230" s="649">
        <f t="shared" si="164"/>
        <v>0</v>
      </c>
      <c r="AL230" s="650"/>
      <c r="AM230" s="649">
        <f t="shared" si="165"/>
        <v>0</v>
      </c>
      <c r="AN230" s="650"/>
      <c r="AO230" s="649">
        <f t="shared" si="166"/>
        <v>0</v>
      </c>
      <c r="AP230" s="650"/>
      <c r="AQ230" s="649">
        <f t="shared" si="167"/>
        <v>0</v>
      </c>
      <c r="AR230" s="650"/>
      <c r="AS230" s="651">
        <f t="shared" si="168"/>
        <v>0</v>
      </c>
      <c r="AT230" s="652"/>
      <c r="AU230" s="141">
        <f t="shared" si="181"/>
        <v>0</v>
      </c>
      <c r="AV230" s="141">
        <f t="shared" si="182"/>
        <v>0</v>
      </c>
      <c r="AW230" s="141">
        <f t="shared" si="183"/>
        <v>0</v>
      </c>
      <c r="AX230" s="141">
        <f t="shared" si="184"/>
        <v>0</v>
      </c>
      <c r="AY230" s="141">
        <f t="shared" si="185"/>
        <v>0</v>
      </c>
      <c r="AZ230" s="141">
        <f t="shared" si="186"/>
        <v>0</v>
      </c>
      <c r="BA230" s="141">
        <f t="shared" si="187"/>
        <v>0</v>
      </c>
      <c r="BB230" s="141">
        <f t="shared" si="188"/>
        <v>0</v>
      </c>
      <c r="BC230" s="141">
        <f t="shared" si="189"/>
        <v>0</v>
      </c>
      <c r="BD230" s="141">
        <f t="shared" si="190"/>
        <v>0</v>
      </c>
      <c r="BE230" s="141">
        <f t="shared" si="191"/>
        <v>0</v>
      </c>
      <c r="BF230" s="141">
        <f t="shared" si="192"/>
        <v>0</v>
      </c>
      <c r="BG230" s="141">
        <f t="shared" si="169"/>
        <v>0</v>
      </c>
      <c r="BH230" s="141">
        <f t="shared" si="170"/>
        <v>0</v>
      </c>
      <c r="BI230" s="141">
        <f t="shared" si="193"/>
        <v>0</v>
      </c>
      <c r="BJ230" s="147">
        <f t="shared" si="171"/>
        <v>0</v>
      </c>
      <c r="BK230" s="141">
        <f t="shared" si="172"/>
        <v>0</v>
      </c>
      <c r="BL230" s="141">
        <f t="shared" si="173"/>
        <v>0</v>
      </c>
      <c r="BM230" s="141">
        <f t="shared" si="174"/>
        <v>0</v>
      </c>
      <c r="BN230" s="141">
        <f t="shared" si="175"/>
        <v>0</v>
      </c>
      <c r="BO230" s="141">
        <f t="shared" si="176"/>
        <v>0</v>
      </c>
      <c r="BP230" s="141">
        <f t="shared" si="177"/>
        <v>0</v>
      </c>
      <c r="BT230" s="177"/>
      <c r="BU230" s="173"/>
      <c r="BV230" s="174"/>
      <c r="BW230" s="117"/>
      <c r="BX230" s="180"/>
      <c r="BY230" s="117"/>
      <c r="BZ230" s="181"/>
      <c r="CA230" s="182"/>
      <c r="CB230" s="176"/>
      <c r="CC230" s="176"/>
      <c r="CF230" s="170"/>
      <c r="CG230" s="171"/>
      <c r="CH230" s="170"/>
      <c r="CI230" s="171"/>
    </row>
    <row r="231" spans="2:87" s="108" customFormat="1" ht="15" hidden="1" customHeight="1">
      <c r="B231" s="109"/>
      <c r="C231" s="141" t="e">
        <f t="shared" si="152"/>
        <v>#NUM!</v>
      </c>
      <c r="D231" s="141">
        <f t="shared" si="154"/>
        <v>0</v>
      </c>
      <c r="E231" s="141" t="str">
        <f>IFERROR(DGET($BV$30:$CC$82,F231,G230:G231),"")</f>
        <v/>
      </c>
      <c r="F231" s="142">
        <f t="shared" si="178"/>
        <v>0</v>
      </c>
      <c r="G231" s="142" t="b">
        <f>IF(Q231&gt;0,IF(AND(S231&gt;0,S231&lt;2),CONCATENATE(Q231," ","0-2"),IF(AND(S231&gt;=2,S231&lt;8),CONCATENATE(Q231," ","2-8"),)))</f>
        <v>0</v>
      </c>
      <c r="H231" s="80">
        <f t="shared" si="155"/>
        <v>0</v>
      </c>
      <c r="I231" s="80" t="str">
        <f t="shared" si="179"/>
        <v/>
      </c>
      <c r="J231" s="76"/>
      <c r="K231" s="76"/>
      <c r="L231" s="76"/>
      <c r="M231" s="80"/>
      <c r="N231" s="79"/>
      <c r="O231" s="148"/>
      <c r="P231" s="77">
        <f t="shared" si="180"/>
        <v>0</v>
      </c>
      <c r="Q231" s="81"/>
      <c r="R231" s="77"/>
      <c r="S231" s="146">
        <f t="shared" si="153"/>
        <v>0</v>
      </c>
      <c r="T231" s="141" t="b">
        <f t="shared" si="194"/>
        <v>0</v>
      </c>
      <c r="U231" s="649">
        <f t="shared" si="156"/>
        <v>0</v>
      </c>
      <c r="V231" s="650"/>
      <c r="W231" s="649">
        <f t="shared" si="157"/>
        <v>0</v>
      </c>
      <c r="X231" s="650"/>
      <c r="Y231" s="649">
        <f t="shared" si="158"/>
        <v>0</v>
      </c>
      <c r="Z231" s="650"/>
      <c r="AA231" s="649">
        <f t="shared" si="159"/>
        <v>0</v>
      </c>
      <c r="AB231" s="650"/>
      <c r="AC231" s="649">
        <f t="shared" si="160"/>
        <v>0</v>
      </c>
      <c r="AD231" s="650"/>
      <c r="AE231" s="649">
        <f t="shared" si="161"/>
        <v>0</v>
      </c>
      <c r="AF231" s="650"/>
      <c r="AG231" s="649">
        <f t="shared" si="162"/>
        <v>0</v>
      </c>
      <c r="AH231" s="650"/>
      <c r="AI231" s="649">
        <f t="shared" si="163"/>
        <v>0</v>
      </c>
      <c r="AJ231" s="650"/>
      <c r="AK231" s="649">
        <f t="shared" si="164"/>
        <v>0</v>
      </c>
      <c r="AL231" s="650"/>
      <c r="AM231" s="649">
        <f t="shared" si="165"/>
        <v>0</v>
      </c>
      <c r="AN231" s="650"/>
      <c r="AO231" s="649">
        <f t="shared" si="166"/>
        <v>0</v>
      </c>
      <c r="AP231" s="650"/>
      <c r="AQ231" s="649">
        <f t="shared" si="167"/>
        <v>0</v>
      </c>
      <c r="AR231" s="650"/>
      <c r="AS231" s="651">
        <f t="shared" si="168"/>
        <v>0</v>
      </c>
      <c r="AT231" s="652"/>
      <c r="AU231" s="141">
        <f t="shared" si="181"/>
        <v>0</v>
      </c>
      <c r="AV231" s="141">
        <f t="shared" si="182"/>
        <v>0</v>
      </c>
      <c r="AW231" s="141">
        <f t="shared" si="183"/>
        <v>0</v>
      </c>
      <c r="AX231" s="141">
        <f t="shared" si="184"/>
        <v>0</v>
      </c>
      <c r="AY231" s="141">
        <f t="shared" si="185"/>
        <v>0</v>
      </c>
      <c r="AZ231" s="141">
        <f t="shared" si="186"/>
        <v>0</v>
      </c>
      <c r="BA231" s="141">
        <f t="shared" si="187"/>
        <v>0</v>
      </c>
      <c r="BB231" s="141">
        <f t="shared" si="188"/>
        <v>0</v>
      </c>
      <c r="BC231" s="141">
        <f t="shared" si="189"/>
        <v>0</v>
      </c>
      <c r="BD231" s="141">
        <f t="shared" si="190"/>
        <v>0</v>
      </c>
      <c r="BE231" s="141">
        <f t="shared" si="191"/>
        <v>0</v>
      </c>
      <c r="BF231" s="141">
        <f t="shared" si="192"/>
        <v>0</v>
      </c>
      <c r="BG231" s="141">
        <f t="shared" si="169"/>
        <v>0</v>
      </c>
      <c r="BH231" s="141">
        <f t="shared" si="170"/>
        <v>0</v>
      </c>
      <c r="BI231" s="141">
        <f t="shared" si="193"/>
        <v>0</v>
      </c>
      <c r="BJ231" s="147">
        <f t="shared" si="171"/>
        <v>0</v>
      </c>
      <c r="BK231" s="141">
        <f t="shared" si="172"/>
        <v>0</v>
      </c>
      <c r="BL231" s="141">
        <f t="shared" si="173"/>
        <v>0</v>
      </c>
      <c r="BM231" s="141">
        <f t="shared" si="174"/>
        <v>0</v>
      </c>
      <c r="BN231" s="141">
        <f t="shared" si="175"/>
        <v>0</v>
      </c>
      <c r="BO231" s="141">
        <f t="shared" si="176"/>
        <v>0</v>
      </c>
      <c r="BP231" s="141">
        <f t="shared" si="177"/>
        <v>0</v>
      </c>
      <c r="BT231" s="177"/>
      <c r="BU231" s="173"/>
      <c r="BV231" s="174"/>
      <c r="BW231" s="117"/>
      <c r="BX231" s="180"/>
      <c r="BY231" s="117"/>
      <c r="BZ231" s="181"/>
      <c r="CA231" s="182"/>
      <c r="CB231" s="176"/>
      <c r="CC231" s="176"/>
      <c r="CF231" s="170"/>
      <c r="CG231" s="171"/>
      <c r="CH231" s="170"/>
      <c r="CI231" s="171"/>
    </row>
    <row r="232" spans="2:87" s="108" customFormat="1" ht="15" hidden="1" customHeight="1">
      <c r="B232" s="109"/>
      <c r="C232" s="141" t="e">
        <f t="shared" si="152"/>
        <v>#NUM!</v>
      </c>
      <c r="D232" s="141">
        <f t="shared" si="154"/>
        <v>0</v>
      </c>
      <c r="E232" s="141"/>
      <c r="F232" s="142">
        <f t="shared" si="178"/>
        <v>0</v>
      </c>
      <c r="G232" s="143" t="s">
        <v>146</v>
      </c>
      <c r="H232" s="80">
        <f t="shared" si="155"/>
        <v>0</v>
      </c>
      <c r="I232" s="80" t="str">
        <f t="shared" si="179"/>
        <v/>
      </c>
      <c r="J232" s="144"/>
      <c r="K232" s="144"/>
      <c r="L232" s="144"/>
      <c r="M232" s="76"/>
      <c r="N232" s="77"/>
      <c r="O232" s="145"/>
      <c r="P232" s="77">
        <f t="shared" si="180"/>
        <v>0</v>
      </c>
      <c r="Q232" s="78"/>
      <c r="R232" s="79"/>
      <c r="S232" s="146">
        <f t="shared" si="153"/>
        <v>0</v>
      </c>
      <c r="T232" s="141" t="b">
        <f t="shared" si="194"/>
        <v>0</v>
      </c>
      <c r="U232" s="649">
        <f t="shared" si="156"/>
        <v>0</v>
      </c>
      <c r="V232" s="650"/>
      <c r="W232" s="649">
        <f t="shared" si="157"/>
        <v>0</v>
      </c>
      <c r="X232" s="650"/>
      <c r="Y232" s="649">
        <f t="shared" si="158"/>
        <v>0</v>
      </c>
      <c r="Z232" s="650"/>
      <c r="AA232" s="649">
        <f t="shared" si="159"/>
        <v>0</v>
      </c>
      <c r="AB232" s="650"/>
      <c r="AC232" s="649">
        <f t="shared" si="160"/>
        <v>0</v>
      </c>
      <c r="AD232" s="650"/>
      <c r="AE232" s="649">
        <f t="shared" si="161"/>
        <v>0</v>
      </c>
      <c r="AF232" s="650"/>
      <c r="AG232" s="649">
        <f t="shared" si="162"/>
        <v>0</v>
      </c>
      <c r="AH232" s="650"/>
      <c r="AI232" s="649">
        <f t="shared" si="163"/>
        <v>0</v>
      </c>
      <c r="AJ232" s="650"/>
      <c r="AK232" s="649">
        <f t="shared" si="164"/>
        <v>0</v>
      </c>
      <c r="AL232" s="650"/>
      <c r="AM232" s="649">
        <f t="shared" si="165"/>
        <v>0</v>
      </c>
      <c r="AN232" s="650"/>
      <c r="AO232" s="649">
        <f t="shared" si="166"/>
        <v>0</v>
      </c>
      <c r="AP232" s="650"/>
      <c r="AQ232" s="649">
        <f t="shared" si="167"/>
        <v>0</v>
      </c>
      <c r="AR232" s="650"/>
      <c r="AS232" s="651">
        <f t="shared" si="168"/>
        <v>0</v>
      </c>
      <c r="AT232" s="652"/>
      <c r="AU232" s="141">
        <f t="shared" si="181"/>
        <v>0</v>
      </c>
      <c r="AV232" s="141">
        <f t="shared" si="182"/>
        <v>0</v>
      </c>
      <c r="AW232" s="141">
        <f t="shared" si="183"/>
        <v>0</v>
      </c>
      <c r="AX232" s="141">
        <f t="shared" si="184"/>
        <v>0</v>
      </c>
      <c r="AY232" s="141">
        <f t="shared" si="185"/>
        <v>0</v>
      </c>
      <c r="AZ232" s="141">
        <f t="shared" si="186"/>
        <v>0</v>
      </c>
      <c r="BA232" s="141">
        <f t="shared" si="187"/>
        <v>0</v>
      </c>
      <c r="BB232" s="141">
        <f t="shared" si="188"/>
        <v>0</v>
      </c>
      <c r="BC232" s="141">
        <f t="shared" si="189"/>
        <v>0</v>
      </c>
      <c r="BD232" s="141">
        <f t="shared" si="190"/>
        <v>0</v>
      </c>
      <c r="BE232" s="141">
        <f t="shared" si="191"/>
        <v>0</v>
      </c>
      <c r="BF232" s="141">
        <f t="shared" si="192"/>
        <v>0</v>
      </c>
      <c r="BG232" s="141">
        <f t="shared" si="169"/>
        <v>0</v>
      </c>
      <c r="BH232" s="141">
        <f t="shared" si="170"/>
        <v>0</v>
      </c>
      <c r="BI232" s="141">
        <f t="shared" si="193"/>
        <v>0</v>
      </c>
      <c r="BJ232" s="147">
        <f t="shared" si="171"/>
        <v>0</v>
      </c>
      <c r="BK232" s="141">
        <f t="shared" si="172"/>
        <v>0</v>
      </c>
      <c r="BL232" s="141">
        <f t="shared" si="173"/>
        <v>0</v>
      </c>
      <c r="BM232" s="141">
        <f t="shared" si="174"/>
        <v>0</v>
      </c>
      <c r="BN232" s="141">
        <f t="shared" si="175"/>
        <v>0</v>
      </c>
      <c r="BO232" s="141">
        <f t="shared" si="176"/>
        <v>0</v>
      </c>
      <c r="BP232" s="141">
        <f t="shared" si="177"/>
        <v>0</v>
      </c>
      <c r="BT232" s="177"/>
      <c r="BU232" s="173"/>
      <c r="BV232" s="174"/>
      <c r="BW232" s="117"/>
      <c r="BX232" s="180"/>
      <c r="BY232" s="117"/>
      <c r="BZ232" s="181"/>
      <c r="CA232" s="182"/>
      <c r="CB232" s="176"/>
      <c r="CC232" s="176"/>
      <c r="CF232" s="170"/>
      <c r="CG232" s="171"/>
      <c r="CH232" s="170"/>
      <c r="CI232" s="171"/>
    </row>
    <row r="233" spans="2:87" s="108" customFormat="1" ht="15" hidden="1" customHeight="1">
      <c r="B233" s="109"/>
      <c r="C233" s="141" t="e">
        <f t="shared" si="152"/>
        <v>#NUM!</v>
      </c>
      <c r="D233" s="141">
        <f t="shared" si="154"/>
        <v>0</v>
      </c>
      <c r="E233" s="141" t="str">
        <f>IFERROR(DGET($BV$30:$CC$82,F233,G232:G233),"")</f>
        <v/>
      </c>
      <c r="F233" s="142">
        <f t="shared" si="178"/>
        <v>0</v>
      </c>
      <c r="G233" s="142" t="b">
        <f>IF(Q233&gt;0,IF(AND(S233&gt;0,S233&lt;2),CONCATENATE(Q233," ","0-2"),IF(AND(S233&gt;=2,S233&lt;8),CONCATENATE(Q233," ","2-8"),)))</f>
        <v>0</v>
      </c>
      <c r="H233" s="80">
        <f t="shared" si="155"/>
        <v>0</v>
      </c>
      <c r="I233" s="80" t="str">
        <f t="shared" si="179"/>
        <v/>
      </c>
      <c r="J233" s="76"/>
      <c r="K233" s="76"/>
      <c r="L233" s="76"/>
      <c r="M233" s="80"/>
      <c r="N233" s="79"/>
      <c r="O233" s="148"/>
      <c r="P233" s="77">
        <f t="shared" si="180"/>
        <v>0</v>
      </c>
      <c r="Q233" s="81"/>
      <c r="R233" s="77"/>
      <c r="S233" s="146">
        <f t="shared" si="153"/>
        <v>0</v>
      </c>
      <c r="T233" s="141" t="b">
        <f t="shared" si="194"/>
        <v>0</v>
      </c>
      <c r="U233" s="649">
        <f t="shared" si="156"/>
        <v>0</v>
      </c>
      <c r="V233" s="650"/>
      <c r="W233" s="649">
        <f t="shared" si="157"/>
        <v>0</v>
      </c>
      <c r="X233" s="650"/>
      <c r="Y233" s="649">
        <f t="shared" si="158"/>
        <v>0</v>
      </c>
      <c r="Z233" s="650"/>
      <c r="AA233" s="649">
        <f t="shared" si="159"/>
        <v>0</v>
      </c>
      <c r="AB233" s="650"/>
      <c r="AC233" s="649">
        <f t="shared" si="160"/>
        <v>0</v>
      </c>
      <c r="AD233" s="650"/>
      <c r="AE233" s="649">
        <f t="shared" si="161"/>
        <v>0</v>
      </c>
      <c r="AF233" s="650"/>
      <c r="AG233" s="649">
        <f t="shared" si="162"/>
        <v>0</v>
      </c>
      <c r="AH233" s="650"/>
      <c r="AI233" s="649">
        <f t="shared" si="163"/>
        <v>0</v>
      </c>
      <c r="AJ233" s="650"/>
      <c r="AK233" s="649">
        <f t="shared" si="164"/>
        <v>0</v>
      </c>
      <c r="AL233" s="650"/>
      <c r="AM233" s="649">
        <f t="shared" si="165"/>
        <v>0</v>
      </c>
      <c r="AN233" s="650"/>
      <c r="AO233" s="649">
        <f t="shared" si="166"/>
        <v>0</v>
      </c>
      <c r="AP233" s="650"/>
      <c r="AQ233" s="649">
        <f t="shared" si="167"/>
        <v>0</v>
      </c>
      <c r="AR233" s="650"/>
      <c r="AS233" s="651">
        <f t="shared" si="168"/>
        <v>0</v>
      </c>
      <c r="AT233" s="652"/>
      <c r="AU233" s="141">
        <f t="shared" si="181"/>
        <v>0</v>
      </c>
      <c r="AV233" s="141">
        <f t="shared" si="182"/>
        <v>0</v>
      </c>
      <c r="AW233" s="141">
        <f t="shared" si="183"/>
        <v>0</v>
      </c>
      <c r="AX233" s="141">
        <f t="shared" si="184"/>
        <v>0</v>
      </c>
      <c r="AY233" s="141">
        <f t="shared" si="185"/>
        <v>0</v>
      </c>
      <c r="AZ233" s="141">
        <f t="shared" si="186"/>
        <v>0</v>
      </c>
      <c r="BA233" s="141">
        <f t="shared" si="187"/>
        <v>0</v>
      </c>
      <c r="BB233" s="141">
        <f t="shared" si="188"/>
        <v>0</v>
      </c>
      <c r="BC233" s="141">
        <f t="shared" si="189"/>
        <v>0</v>
      </c>
      <c r="BD233" s="141">
        <f t="shared" si="190"/>
        <v>0</v>
      </c>
      <c r="BE233" s="141">
        <f t="shared" si="191"/>
        <v>0</v>
      </c>
      <c r="BF233" s="141">
        <f t="shared" si="192"/>
        <v>0</v>
      </c>
      <c r="BG233" s="141">
        <f t="shared" si="169"/>
        <v>0</v>
      </c>
      <c r="BH233" s="141">
        <f t="shared" si="170"/>
        <v>0</v>
      </c>
      <c r="BI233" s="141">
        <f t="shared" si="193"/>
        <v>0</v>
      </c>
      <c r="BJ233" s="147">
        <f t="shared" si="171"/>
        <v>0</v>
      </c>
      <c r="BK233" s="141">
        <f t="shared" si="172"/>
        <v>0</v>
      </c>
      <c r="BL233" s="141">
        <f t="shared" si="173"/>
        <v>0</v>
      </c>
      <c r="BM233" s="141">
        <f t="shared" si="174"/>
        <v>0</v>
      </c>
      <c r="BN233" s="141">
        <f t="shared" si="175"/>
        <v>0</v>
      </c>
      <c r="BO233" s="141">
        <f t="shared" si="176"/>
        <v>0</v>
      </c>
      <c r="BP233" s="141">
        <f t="shared" si="177"/>
        <v>0</v>
      </c>
      <c r="BT233" s="177"/>
      <c r="BU233" s="173"/>
      <c r="BV233" s="174"/>
      <c r="BW233" s="117"/>
      <c r="BX233" s="180"/>
      <c r="BY233" s="117"/>
      <c r="BZ233" s="181"/>
      <c r="CA233" s="182"/>
      <c r="CB233" s="176"/>
      <c r="CC233" s="176"/>
      <c r="CF233" s="170"/>
      <c r="CG233" s="171"/>
      <c r="CH233" s="170"/>
      <c r="CI233" s="171"/>
    </row>
    <row r="234" spans="2:87" s="108" customFormat="1" ht="15" hidden="1" customHeight="1">
      <c r="B234" s="109"/>
      <c r="C234" s="141" t="e">
        <f t="shared" si="152"/>
        <v>#NUM!</v>
      </c>
      <c r="D234" s="141">
        <f t="shared" si="154"/>
        <v>0</v>
      </c>
      <c r="E234" s="141"/>
      <c r="F234" s="142">
        <f t="shared" si="178"/>
        <v>0</v>
      </c>
      <c r="G234" s="143" t="s">
        <v>146</v>
      </c>
      <c r="H234" s="80">
        <f t="shared" si="155"/>
        <v>0</v>
      </c>
      <c r="I234" s="80" t="str">
        <f t="shared" si="179"/>
        <v/>
      </c>
      <c r="J234" s="144"/>
      <c r="K234" s="144"/>
      <c r="L234" s="144"/>
      <c r="M234" s="76"/>
      <c r="N234" s="77"/>
      <c r="O234" s="145"/>
      <c r="P234" s="77">
        <f t="shared" si="180"/>
        <v>0</v>
      </c>
      <c r="Q234" s="78"/>
      <c r="R234" s="79"/>
      <c r="S234" s="146">
        <f t="shared" si="153"/>
        <v>0</v>
      </c>
      <c r="T234" s="141" t="b">
        <f t="shared" si="194"/>
        <v>0</v>
      </c>
      <c r="U234" s="649">
        <f t="shared" si="156"/>
        <v>0</v>
      </c>
      <c r="V234" s="650"/>
      <c r="W234" s="649">
        <f t="shared" si="157"/>
        <v>0</v>
      </c>
      <c r="X234" s="650"/>
      <c r="Y234" s="649">
        <f t="shared" si="158"/>
        <v>0</v>
      </c>
      <c r="Z234" s="650"/>
      <c r="AA234" s="649">
        <f t="shared" si="159"/>
        <v>0</v>
      </c>
      <c r="AB234" s="650"/>
      <c r="AC234" s="649">
        <f t="shared" si="160"/>
        <v>0</v>
      </c>
      <c r="AD234" s="650"/>
      <c r="AE234" s="649">
        <f t="shared" si="161"/>
        <v>0</v>
      </c>
      <c r="AF234" s="650"/>
      <c r="AG234" s="649">
        <f t="shared" si="162"/>
        <v>0</v>
      </c>
      <c r="AH234" s="650"/>
      <c r="AI234" s="649">
        <f t="shared" si="163"/>
        <v>0</v>
      </c>
      <c r="AJ234" s="650"/>
      <c r="AK234" s="649">
        <f t="shared" si="164"/>
        <v>0</v>
      </c>
      <c r="AL234" s="650"/>
      <c r="AM234" s="649">
        <f t="shared" si="165"/>
        <v>0</v>
      </c>
      <c r="AN234" s="650"/>
      <c r="AO234" s="649">
        <f t="shared" si="166"/>
        <v>0</v>
      </c>
      <c r="AP234" s="650"/>
      <c r="AQ234" s="649">
        <f t="shared" si="167"/>
        <v>0</v>
      </c>
      <c r="AR234" s="650"/>
      <c r="AS234" s="651">
        <f t="shared" si="168"/>
        <v>0</v>
      </c>
      <c r="AT234" s="652"/>
      <c r="AU234" s="141">
        <f t="shared" si="181"/>
        <v>0</v>
      </c>
      <c r="AV234" s="141">
        <f t="shared" si="182"/>
        <v>0</v>
      </c>
      <c r="AW234" s="141">
        <f t="shared" si="183"/>
        <v>0</v>
      </c>
      <c r="AX234" s="141">
        <f t="shared" si="184"/>
        <v>0</v>
      </c>
      <c r="AY234" s="141">
        <f t="shared" si="185"/>
        <v>0</v>
      </c>
      <c r="AZ234" s="141">
        <f t="shared" si="186"/>
        <v>0</v>
      </c>
      <c r="BA234" s="141">
        <f t="shared" si="187"/>
        <v>0</v>
      </c>
      <c r="BB234" s="141">
        <f t="shared" si="188"/>
        <v>0</v>
      </c>
      <c r="BC234" s="141">
        <f t="shared" si="189"/>
        <v>0</v>
      </c>
      <c r="BD234" s="141">
        <f t="shared" si="190"/>
        <v>0</v>
      </c>
      <c r="BE234" s="141">
        <f t="shared" si="191"/>
        <v>0</v>
      </c>
      <c r="BF234" s="141">
        <f t="shared" si="192"/>
        <v>0</v>
      </c>
      <c r="BG234" s="141">
        <f t="shared" si="169"/>
        <v>0</v>
      </c>
      <c r="BH234" s="141">
        <f t="shared" si="170"/>
        <v>0</v>
      </c>
      <c r="BI234" s="141">
        <f t="shared" si="193"/>
        <v>0</v>
      </c>
      <c r="BJ234" s="147">
        <f t="shared" si="171"/>
        <v>0</v>
      </c>
      <c r="BK234" s="141">
        <f t="shared" si="172"/>
        <v>0</v>
      </c>
      <c r="BL234" s="141">
        <f t="shared" si="173"/>
        <v>0</v>
      </c>
      <c r="BM234" s="141">
        <f t="shared" si="174"/>
        <v>0</v>
      </c>
      <c r="BN234" s="141">
        <f t="shared" si="175"/>
        <v>0</v>
      </c>
      <c r="BO234" s="141">
        <f t="shared" si="176"/>
        <v>0</v>
      </c>
      <c r="BP234" s="141">
        <f t="shared" si="177"/>
        <v>0</v>
      </c>
      <c r="BT234" s="177"/>
      <c r="BU234" s="173"/>
      <c r="BV234" s="174"/>
      <c r="BW234" s="117"/>
      <c r="BX234" s="180"/>
      <c r="BY234" s="117"/>
      <c r="BZ234" s="181"/>
      <c r="CA234" s="182"/>
      <c r="CB234" s="176"/>
      <c r="CC234" s="176"/>
      <c r="CF234" s="170"/>
      <c r="CG234" s="171"/>
      <c r="CH234" s="170"/>
      <c r="CI234" s="171"/>
    </row>
    <row r="235" spans="2:87" s="108" customFormat="1" ht="15" hidden="1" customHeight="1">
      <c r="B235" s="109"/>
      <c r="C235" s="141" t="e">
        <f t="shared" si="152"/>
        <v>#NUM!</v>
      </c>
      <c r="D235" s="141">
        <f t="shared" si="154"/>
        <v>0</v>
      </c>
      <c r="E235" s="141" t="str">
        <f>IFERROR(DGET($BV$30:$CC$82,F235,G234:G235),"")</f>
        <v/>
      </c>
      <c r="F235" s="142">
        <f t="shared" si="178"/>
        <v>0</v>
      </c>
      <c r="G235" s="142" t="b">
        <f>IF(Q235&gt;0,IF(AND(S235&gt;0,S235&lt;2),CONCATENATE(Q235," ","0-2"),IF(AND(S235&gt;=2,S235&lt;8),CONCATENATE(Q235," ","2-8"),)))</f>
        <v>0</v>
      </c>
      <c r="H235" s="80">
        <f t="shared" si="155"/>
        <v>0</v>
      </c>
      <c r="I235" s="80" t="str">
        <f t="shared" si="179"/>
        <v/>
      </c>
      <c r="J235" s="76"/>
      <c r="K235" s="76"/>
      <c r="L235" s="76"/>
      <c r="M235" s="80"/>
      <c r="N235" s="79"/>
      <c r="O235" s="148"/>
      <c r="P235" s="77">
        <f t="shared" si="180"/>
        <v>0</v>
      </c>
      <c r="Q235" s="81"/>
      <c r="R235" s="77"/>
      <c r="S235" s="146">
        <f t="shared" si="153"/>
        <v>0</v>
      </c>
      <c r="T235" s="141" t="b">
        <f t="shared" si="194"/>
        <v>0</v>
      </c>
      <c r="U235" s="649">
        <f t="shared" si="156"/>
        <v>0</v>
      </c>
      <c r="V235" s="650"/>
      <c r="W235" s="649">
        <f t="shared" si="157"/>
        <v>0</v>
      </c>
      <c r="X235" s="650"/>
      <c r="Y235" s="649">
        <f t="shared" si="158"/>
        <v>0</v>
      </c>
      <c r="Z235" s="650"/>
      <c r="AA235" s="649">
        <f t="shared" si="159"/>
        <v>0</v>
      </c>
      <c r="AB235" s="650"/>
      <c r="AC235" s="649">
        <f t="shared" si="160"/>
        <v>0</v>
      </c>
      <c r="AD235" s="650"/>
      <c r="AE235" s="649">
        <f t="shared" si="161"/>
        <v>0</v>
      </c>
      <c r="AF235" s="650"/>
      <c r="AG235" s="649">
        <f t="shared" si="162"/>
        <v>0</v>
      </c>
      <c r="AH235" s="650"/>
      <c r="AI235" s="649">
        <f t="shared" si="163"/>
        <v>0</v>
      </c>
      <c r="AJ235" s="650"/>
      <c r="AK235" s="649">
        <f t="shared" si="164"/>
        <v>0</v>
      </c>
      <c r="AL235" s="650"/>
      <c r="AM235" s="649">
        <f t="shared" si="165"/>
        <v>0</v>
      </c>
      <c r="AN235" s="650"/>
      <c r="AO235" s="649">
        <f t="shared" si="166"/>
        <v>0</v>
      </c>
      <c r="AP235" s="650"/>
      <c r="AQ235" s="649">
        <f t="shared" si="167"/>
        <v>0</v>
      </c>
      <c r="AR235" s="650"/>
      <c r="AS235" s="651">
        <f t="shared" si="168"/>
        <v>0</v>
      </c>
      <c r="AT235" s="652"/>
      <c r="AU235" s="141">
        <f t="shared" si="181"/>
        <v>0</v>
      </c>
      <c r="AV235" s="141">
        <f t="shared" si="182"/>
        <v>0</v>
      </c>
      <c r="AW235" s="141">
        <f t="shared" si="183"/>
        <v>0</v>
      </c>
      <c r="AX235" s="141">
        <f t="shared" si="184"/>
        <v>0</v>
      </c>
      <c r="AY235" s="141">
        <f t="shared" si="185"/>
        <v>0</v>
      </c>
      <c r="AZ235" s="141">
        <f t="shared" si="186"/>
        <v>0</v>
      </c>
      <c r="BA235" s="141">
        <f t="shared" si="187"/>
        <v>0</v>
      </c>
      <c r="BB235" s="141">
        <f t="shared" si="188"/>
        <v>0</v>
      </c>
      <c r="BC235" s="141">
        <f t="shared" si="189"/>
        <v>0</v>
      </c>
      <c r="BD235" s="141">
        <f t="shared" si="190"/>
        <v>0</v>
      </c>
      <c r="BE235" s="141">
        <f t="shared" si="191"/>
        <v>0</v>
      </c>
      <c r="BF235" s="141">
        <f t="shared" si="192"/>
        <v>0</v>
      </c>
      <c r="BG235" s="141">
        <f t="shared" si="169"/>
        <v>0</v>
      </c>
      <c r="BH235" s="141">
        <f t="shared" si="170"/>
        <v>0</v>
      </c>
      <c r="BI235" s="141">
        <f t="shared" si="193"/>
        <v>0</v>
      </c>
      <c r="BJ235" s="147">
        <f t="shared" si="171"/>
        <v>0</v>
      </c>
      <c r="BK235" s="141">
        <f t="shared" si="172"/>
        <v>0</v>
      </c>
      <c r="BL235" s="141">
        <f t="shared" si="173"/>
        <v>0</v>
      </c>
      <c r="BM235" s="141">
        <f t="shared" si="174"/>
        <v>0</v>
      </c>
      <c r="BN235" s="141">
        <f t="shared" si="175"/>
        <v>0</v>
      </c>
      <c r="BO235" s="141">
        <f t="shared" si="176"/>
        <v>0</v>
      </c>
      <c r="BP235" s="141">
        <f t="shared" si="177"/>
        <v>0</v>
      </c>
      <c r="BT235" s="177"/>
      <c r="BU235" s="173"/>
      <c r="BV235" s="174"/>
      <c r="BW235" s="117"/>
      <c r="BX235" s="180"/>
      <c r="BY235" s="117"/>
      <c r="BZ235" s="181"/>
      <c r="CA235" s="182"/>
      <c r="CB235" s="176"/>
      <c r="CC235" s="176"/>
      <c r="CF235" s="170"/>
      <c r="CG235" s="171"/>
      <c r="CH235" s="170"/>
      <c r="CI235" s="171"/>
    </row>
    <row r="236" spans="2:87" s="108" customFormat="1" ht="15" hidden="1" customHeight="1">
      <c r="B236" s="109"/>
      <c r="C236" s="141" t="e">
        <f t="shared" si="152"/>
        <v>#NUM!</v>
      </c>
      <c r="D236" s="141">
        <f t="shared" si="154"/>
        <v>0</v>
      </c>
      <c r="E236" s="141"/>
      <c r="F236" s="142">
        <f t="shared" si="178"/>
        <v>0</v>
      </c>
      <c r="G236" s="143" t="s">
        <v>146</v>
      </c>
      <c r="H236" s="80">
        <f t="shared" si="155"/>
        <v>0</v>
      </c>
      <c r="I236" s="80" t="str">
        <f t="shared" si="179"/>
        <v/>
      </c>
      <c r="J236" s="144"/>
      <c r="K236" s="144"/>
      <c r="L236" s="144"/>
      <c r="M236" s="76"/>
      <c r="N236" s="77"/>
      <c r="O236" s="145"/>
      <c r="P236" s="77">
        <f t="shared" si="180"/>
        <v>0</v>
      </c>
      <c r="Q236" s="78"/>
      <c r="R236" s="79"/>
      <c r="S236" s="146">
        <f t="shared" si="153"/>
        <v>0</v>
      </c>
      <c r="T236" s="141" t="b">
        <f t="shared" si="194"/>
        <v>0</v>
      </c>
      <c r="U236" s="649">
        <f t="shared" si="156"/>
        <v>0</v>
      </c>
      <c r="V236" s="650"/>
      <c r="W236" s="649">
        <f t="shared" si="157"/>
        <v>0</v>
      </c>
      <c r="X236" s="650"/>
      <c r="Y236" s="649">
        <f t="shared" si="158"/>
        <v>0</v>
      </c>
      <c r="Z236" s="650"/>
      <c r="AA236" s="649">
        <f t="shared" si="159"/>
        <v>0</v>
      </c>
      <c r="AB236" s="650"/>
      <c r="AC236" s="649">
        <f t="shared" si="160"/>
        <v>0</v>
      </c>
      <c r="AD236" s="650"/>
      <c r="AE236" s="649">
        <f t="shared" si="161"/>
        <v>0</v>
      </c>
      <c r="AF236" s="650"/>
      <c r="AG236" s="649">
        <f t="shared" si="162"/>
        <v>0</v>
      </c>
      <c r="AH236" s="650"/>
      <c r="AI236" s="649">
        <f t="shared" si="163"/>
        <v>0</v>
      </c>
      <c r="AJ236" s="650"/>
      <c r="AK236" s="649">
        <f t="shared" si="164"/>
        <v>0</v>
      </c>
      <c r="AL236" s="650"/>
      <c r="AM236" s="649">
        <f t="shared" si="165"/>
        <v>0</v>
      </c>
      <c r="AN236" s="650"/>
      <c r="AO236" s="649">
        <f t="shared" si="166"/>
        <v>0</v>
      </c>
      <c r="AP236" s="650"/>
      <c r="AQ236" s="649">
        <f t="shared" si="167"/>
        <v>0</v>
      </c>
      <c r="AR236" s="650"/>
      <c r="AS236" s="651">
        <f t="shared" si="168"/>
        <v>0</v>
      </c>
      <c r="AT236" s="652"/>
      <c r="AU236" s="141">
        <f t="shared" si="181"/>
        <v>0</v>
      </c>
      <c r="AV236" s="141">
        <f t="shared" si="182"/>
        <v>0</v>
      </c>
      <c r="AW236" s="141">
        <f t="shared" si="183"/>
        <v>0</v>
      </c>
      <c r="AX236" s="141">
        <f t="shared" si="184"/>
        <v>0</v>
      </c>
      <c r="AY236" s="141">
        <f t="shared" si="185"/>
        <v>0</v>
      </c>
      <c r="AZ236" s="141">
        <f t="shared" si="186"/>
        <v>0</v>
      </c>
      <c r="BA236" s="141">
        <f t="shared" si="187"/>
        <v>0</v>
      </c>
      <c r="BB236" s="141">
        <f t="shared" si="188"/>
        <v>0</v>
      </c>
      <c r="BC236" s="141">
        <f t="shared" si="189"/>
        <v>0</v>
      </c>
      <c r="BD236" s="141">
        <f t="shared" si="190"/>
        <v>0</v>
      </c>
      <c r="BE236" s="141">
        <f t="shared" si="191"/>
        <v>0</v>
      </c>
      <c r="BF236" s="141">
        <f t="shared" si="192"/>
        <v>0</v>
      </c>
      <c r="BG236" s="141">
        <f t="shared" si="169"/>
        <v>0</v>
      </c>
      <c r="BH236" s="141">
        <f t="shared" si="170"/>
        <v>0</v>
      </c>
      <c r="BI236" s="141">
        <f t="shared" si="193"/>
        <v>0</v>
      </c>
      <c r="BJ236" s="147">
        <f t="shared" si="171"/>
        <v>0</v>
      </c>
      <c r="BK236" s="141">
        <f t="shared" si="172"/>
        <v>0</v>
      </c>
      <c r="BL236" s="141">
        <f t="shared" si="173"/>
        <v>0</v>
      </c>
      <c r="BM236" s="141">
        <f t="shared" si="174"/>
        <v>0</v>
      </c>
      <c r="BN236" s="141">
        <f t="shared" si="175"/>
        <v>0</v>
      </c>
      <c r="BO236" s="141">
        <f t="shared" si="176"/>
        <v>0</v>
      </c>
      <c r="BP236" s="141">
        <f t="shared" si="177"/>
        <v>0</v>
      </c>
      <c r="BT236" s="177"/>
      <c r="BU236" s="173"/>
      <c r="BV236" s="174"/>
      <c r="BW236" s="117"/>
      <c r="BX236" s="180"/>
      <c r="BY236" s="117"/>
      <c r="BZ236" s="181"/>
      <c r="CA236" s="182"/>
      <c r="CB236" s="176"/>
      <c r="CC236" s="176"/>
      <c r="CF236" s="170"/>
      <c r="CG236" s="171"/>
      <c r="CH236" s="170"/>
      <c r="CI236" s="171"/>
    </row>
    <row r="237" spans="2:87" s="108" customFormat="1" ht="15" hidden="1" customHeight="1">
      <c r="B237" s="109"/>
      <c r="C237" s="141" t="e">
        <f t="shared" si="152"/>
        <v>#NUM!</v>
      </c>
      <c r="D237" s="141">
        <f t="shared" si="154"/>
        <v>0</v>
      </c>
      <c r="E237" s="141" t="str">
        <f>IFERROR(DGET($BV$30:$CC$82,F237,G236:G237),"")</f>
        <v/>
      </c>
      <c r="F237" s="142">
        <f t="shared" si="178"/>
        <v>0</v>
      </c>
      <c r="G237" s="142" t="b">
        <f>IF(Q237&gt;0,IF(AND(S237&gt;0,S237&lt;2),CONCATENATE(Q237," ","0-2"),IF(AND(S237&gt;=2,S237&lt;8),CONCATENATE(Q237," ","2-8"),)))</f>
        <v>0</v>
      </c>
      <c r="H237" s="80">
        <f t="shared" si="155"/>
        <v>0</v>
      </c>
      <c r="I237" s="80" t="str">
        <f t="shared" si="179"/>
        <v/>
      </c>
      <c r="J237" s="76"/>
      <c r="K237" s="76"/>
      <c r="L237" s="76"/>
      <c r="M237" s="80"/>
      <c r="N237" s="79"/>
      <c r="O237" s="148"/>
      <c r="P237" s="77">
        <f t="shared" si="180"/>
        <v>0</v>
      </c>
      <c r="Q237" s="81"/>
      <c r="R237" s="77"/>
      <c r="S237" s="146">
        <f t="shared" si="153"/>
        <v>0</v>
      </c>
      <c r="T237" s="141" t="b">
        <f t="shared" si="194"/>
        <v>0</v>
      </c>
      <c r="U237" s="649">
        <f t="shared" si="156"/>
        <v>0</v>
      </c>
      <c r="V237" s="650"/>
      <c r="W237" s="649">
        <f t="shared" si="157"/>
        <v>0</v>
      </c>
      <c r="X237" s="650"/>
      <c r="Y237" s="649">
        <f t="shared" si="158"/>
        <v>0</v>
      </c>
      <c r="Z237" s="650"/>
      <c r="AA237" s="649">
        <f t="shared" si="159"/>
        <v>0</v>
      </c>
      <c r="AB237" s="650"/>
      <c r="AC237" s="649">
        <f t="shared" si="160"/>
        <v>0</v>
      </c>
      <c r="AD237" s="650"/>
      <c r="AE237" s="649">
        <f t="shared" si="161"/>
        <v>0</v>
      </c>
      <c r="AF237" s="650"/>
      <c r="AG237" s="649">
        <f t="shared" si="162"/>
        <v>0</v>
      </c>
      <c r="AH237" s="650"/>
      <c r="AI237" s="649">
        <f t="shared" si="163"/>
        <v>0</v>
      </c>
      <c r="AJ237" s="650"/>
      <c r="AK237" s="649">
        <f t="shared" si="164"/>
        <v>0</v>
      </c>
      <c r="AL237" s="650"/>
      <c r="AM237" s="649">
        <f t="shared" si="165"/>
        <v>0</v>
      </c>
      <c r="AN237" s="650"/>
      <c r="AO237" s="649">
        <f t="shared" si="166"/>
        <v>0</v>
      </c>
      <c r="AP237" s="650"/>
      <c r="AQ237" s="649">
        <f t="shared" si="167"/>
        <v>0</v>
      </c>
      <c r="AR237" s="650"/>
      <c r="AS237" s="651">
        <f t="shared" si="168"/>
        <v>0</v>
      </c>
      <c r="AT237" s="652"/>
      <c r="AU237" s="141">
        <f t="shared" si="181"/>
        <v>0</v>
      </c>
      <c r="AV237" s="141">
        <f t="shared" si="182"/>
        <v>0</v>
      </c>
      <c r="AW237" s="141">
        <f t="shared" si="183"/>
        <v>0</v>
      </c>
      <c r="AX237" s="141">
        <f t="shared" si="184"/>
        <v>0</v>
      </c>
      <c r="AY237" s="141">
        <f t="shared" si="185"/>
        <v>0</v>
      </c>
      <c r="AZ237" s="141">
        <f t="shared" si="186"/>
        <v>0</v>
      </c>
      <c r="BA237" s="141">
        <f t="shared" si="187"/>
        <v>0</v>
      </c>
      <c r="BB237" s="141">
        <f t="shared" si="188"/>
        <v>0</v>
      </c>
      <c r="BC237" s="141">
        <f t="shared" si="189"/>
        <v>0</v>
      </c>
      <c r="BD237" s="141">
        <f t="shared" si="190"/>
        <v>0</v>
      </c>
      <c r="BE237" s="141">
        <f t="shared" si="191"/>
        <v>0</v>
      </c>
      <c r="BF237" s="141">
        <f t="shared" si="192"/>
        <v>0</v>
      </c>
      <c r="BG237" s="141">
        <f t="shared" si="169"/>
        <v>0</v>
      </c>
      <c r="BH237" s="141">
        <f t="shared" si="170"/>
        <v>0</v>
      </c>
      <c r="BI237" s="141">
        <f t="shared" si="193"/>
        <v>0</v>
      </c>
      <c r="BJ237" s="147">
        <f t="shared" si="171"/>
        <v>0</v>
      </c>
      <c r="BK237" s="141">
        <f t="shared" si="172"/>
        <v>0</v>
      </c>
      <c r="BL237" s="141">
        <f t="shared" si="173"/>
        <v>0</v>
      </c>
      <c r="BM237" s="141">
        <f t="shared" si="174"/>
        <v>0</v>
      </c>
      <c r="BN237" s="141">
        <f t="shared" si="175"/>
        <v>0</v>
      </c>
      <c r="BO237" s="141">
        <f t="shared" si="176"/>
        <v>0</v>
      </c>
      <c r="BP237" s="141">
        <f t="shared" si="177"/>
        <v>0</v>
      </c>
      <c r="BT237" s="177"/>
      <c r="BU237" s="173"/>
      <c r="BV237" s="174"/>
      <c r="BW237" s="117"/>
      <c r="BX237" s="180"/>
      <c r="BY237" s="117"/>
      <c r="BZ237" s="181"/>
      <c r="CA237" s="182"/>
      <c r="CB237" s="176"/>
      <c r="CC237" s="176"/>
      <c r="CF237" s="170"/>
      <c r="CG237" s="171"/>
      <c r="CH237" s="170"/>
      <c r="CI237" s="171"/>
    </row>
    <row r="238" spans="2:87" s="108" customFormat="1" ht="15" hidden="1" customHeight="1">
      <c r="B238" s="109"/>
      <c r="C238" s="141" t="e">
        <f t="shared" si="152"/>
        <v>#NUM!</v>
      </c>
      <c r="D238" s="141">
        <f t="shared" si="154"/>
        <v>0</v>
      </c>
      <c r="E238" s="141"/>
      <c r="F238" s="142">
        <f t="shared" si="178"/>
        <v>0</v>
      </c>
      <c r="G238" s="143" t="s">
        <v>146</v>
      </c>
      <c r="H238" s="80">
        <f t="shared" si="155"/>
        <v>0</v>
      </c>
      <c r="I238" s="80" t="str">
        <f t="shared" si="179"/>
        <v/>
      </c>
      <c r="J238" s="144"/>
      <c r="K238" s="144"/>
      <c r="L238" s="144"/>
      <c r="M238" s="76"/>
      <c r="N238" s="77"/>
      <c r="O238" s="145"/>
      <c r="P238" s="77">
        <f t="shared" si="180"/>
        <v>0</v>
      </c>
      <c r="Q238" s="78"/>
      <c r="R238" s="79"/>
      <c r="S238" s="146">
        <f t="shared" si="153"/>
        <v>0</v>
      </c>
      <c r="T238" s="141" t="b">
        <f t="shared" si="194"/>
        <v>0</v>
      </c>
      <c r="U238" s="649">
        <f t="shared" si="156"/>
        <v>0</v>
      </c>
      <c r="V238" s="650"/>
      <c r="W238" s="649">
        <f t="shared" si="157"/>
        <v>0</v>
      </c>
      <c r="X238" s="650"/>
      <c r="Y238" s="649">
        <f t="shared" si="158"/>
        <v>0</v>
      </c>
      <c r="Z238" s="650"/>
      <c r="AA238" s="649">
        <f t="shared" si="159"/>
        <v>0</v>
      </c>
      <c r="AB238" s="650"/>
      <c r="AC238" s="649">
        <f t="shared" si="160"/>
        <v>0</v>
      </c>
      <c r="AD238" s="650"/>
      <c r="AE238" s="649">
        <f t="shared" si="161"/>
        <v>0</v>
      </c>
      <c r="AF238" s="650"/>
      <c r="AG238" s="649">
        <f t="shared" si="162"/>
        <v>0</v>
      </c>
      <c r="AH238" s="650"/>
      <c r="AI238" s="649">
        <f t="shared" si="163"/>
        <v>0</v>
      </c>
      <c r="AJ238" s="650"/>
      <c r="AK238" s="649">
        <f t="shared" si="164"/>
        <v>0</v>
      </c>
      <c r="AL238" s="650"/>
      <c r="AM238" s="649">
        <f t="shared" si="165"/>
        <v>0</v>
      </c>
      <c r="AN238" s="650"/>
      <c r="AO238" s="649">
        <f t="shared" si="166"/>
        <v>0</v>
      </c>
      <c r="AP238" s="650"/>
      <c r="AQ238" s="649">
        <f t="shared" si="167"/>
        <v>0</v>
      </c>
      <c r="AR238" s="650"/>
      <c r="AS238" s="651">
        <f t="shared" si="168"/>
        <v>0</v>
      </c>
      <c r="AT238" s="652"/>
      <c r="AU238" s="141">
        <f t="shared" si="181"/>
        <v>0</v>
      </c>
      <c r="AV238" s="141">
        <f t="shared" si="182"/>
        <v>0</v>
      </c>
      <c r="AW238" s="141">
        <f t="shared" si="183"/>
        <v>0</v>
      </c>
      <c r="AX238" s="141">
        <f t="shared" si="184"/>
        <v>0</v>
      </c>
      <c r="AY238" s="141">
        <f t="shared" si="185"/>
        <v>0</v>
      </c>
      <c r="AZ238" s="141">
        <f t="shared" si="186"/>
        <v>0</v>
      </c>
      <c r="BA238" s="141">
        <f t="shared" si="187"/>
        <v>0</v>
      </c>
      <c r="BB238" s="141">
        <f t="shared" si="188"/>
        <v>0</v>
      </c>
      <c r="BC238" s="141">
        <f t="shared" si="189"/>
        <v>0</v>
      </c>
      <c r="BD238" s="141">
        <f t="shared" si="190"/>
        <v>0</v>
      </c>
      <c r="BE238" s="141">
        <f t="shared" si="191"/>
        <v>0</v>
      </c>
      <c r="BF238" s="141">
        <f t="shared" si="192"/>
        <v>0</v>
      </c>
      <c r="BG238" s="141">
        <f t="shared" si="169"/>
        <v>0</v>
      </c>
      <c r="BH238" s="141">
        <f t="shared" si="170"/>
        <v>0</v>
      </c>
      <c r="BI238" s="141">
        <f t="shared" si="193"/>
        <v>0</v>
      </c>
      <c r="BJ238" s="147">
        <f t="shared" si="171"/>
        <v>0</v>
      </c>
      <c r="BK238" s="141">
        <f t="shared" si="172"/>
        <v>0</v>
      </c>
      <c r="BL238" s="141">
        <f t="shared" si="173"/>
        <v>0</v>
      </c>
      <c r="BM238" s="141">
        <f t="shared" si="174"/>
        <v>0</v>
      </c>
      <c r="BN238" s="141">
        <f t="shared" si="175"/>
        <v>0</v>
      </c>
      <c r="BO238" s="141">
        <f t="shared" si="176"/>
        <v>0</v>
      </c>
      <c r="BP238" s="141">
        <f t="shared" si="177"/>
        <v>0</v>
      </c>
      <c r="BT238" s="177"/>
      <c r="BU238" s="173"/>
      <c r="BV238" s="174"/>
      <c r="BW238" s="117"/>
      <c r="BX238" s="180"/>
      <c r="BY238" s="117"/>
      <c r="BZ238" s="181"/>
      <c r="CA238" s="182"/>
      <c r="CB238" s="176"/>
      <c r="CC238" s="176"/>
      <c r="CF238" s="170"/>
      <c r="CG238" s="171"/>
      <c r="CH238" s="170"/>
      <c r="CI238" s="171"/>
    </row>
    <row r="239" spans="2:87" s="108" customFormat="1" ht="15" hidden="1" customHeight="1">
      <c r="B239" s="109"/>
      <c r="C239" s="141" t="e">
        <f t="shared" si="152"/>
        <v>#NUM!</v>
      </c>
      <c r="D239" s="141">
        <f t="shared" si="154"/>
        <v>0</v>
      </c>
      <c r="E239" s="141" t="str">
        <f>IFERROR(DGET($BV$30:$CC$82,F239,G238:G239),"")</f>
        <v/>
      </c>
      <c r="F239" s="142">
        <f t="shared" si="178"/>
        <v>0</v>
      </c>
      <c r="G239" s="142" t="b">
        <f>IF(Q239&gt;0,IF(AND(S239&gt;0,S239&lt;2),CONCATENATE(Q239," ","0-2"),IF(AND(S239&gt;=2,S239&lt;8),CONCATENATE(Q239," ","2-8"),)))</f>
        <v>0</v>
      </c>
      <c r="H239" s="80">
        <f t="shared" si="155"/>
        <v>0</v>
      </c>
      <c r="I239" s="80" t="str">
        <f t="shared" si="179"/>
        <v/>
      </c>
      <c r="J239" s="76"/>
      <c r="K239" s="76"/>
      <c r="L239" s="76"/>
      <c r="M239" s="80"/>
      <c r="N239" s="79"/>
      <c r="O239" s="148"/>
      <c r="P239" s="77">
        <f t="shared" si="180"/>
        <v>0</v>
      </c>
      <c r="Q239" s="81"/>
      <c r="R239" s="77"/>
      <c r="S239" s="146">
        <f t="shared" si="153"/>
        <v>0</v>
      </c>
      <c r="T239" s="141" t="b">
        <f t="shared" si="194"/>
        <v>0</v>
      </c>
      <c r="U239" s="649">
        <f t="shared" si="156"/>
        <v>0</v>
      </c>
      <c r="V239" s="650"/>
      <c r="W239" s="649">
        <f t="shared" si="157"/>
        <v>0</v>
      </c>
      <c r="X239" s="650"/>
      <c r="Y239" s="649">
        <f t="shared" si="158"/>
        <v>0</v>
      </c>
      <c r="Z239" s="650"/>
      <c r="AA239" s="649">
        <f t="shared" si="159"/>
        <v>0</v>
      </c>
      <c r="AB239" s="650"/>
      <c r="AC239" s="649">
        <f t="shared" si="160"/>
        <v>0</v>
      </c>
      <c r="AD239" s="650"/>
      <c r="AE239" s="649">
        <f t="shared" si="161"/>
        <v>0</v>
      </c>
      <c r="AF239" s="650"/>
      <c r="AG239" s="649">
        <f t="shared" si="162"/>
        <v>0</v>
      </c>
      <c r="AH239" s="650"/>
      <c r="AI239" s="649">
        <f t="shared" si="163"/>
        <v>0</v>
      </c>
      <c r="AJ239" s="650"/>
      <c r="AK239" s="649">
        <f t="shared" si="164"/>
        <v>0</v>
      </c>
      <c r="AL239" s="650"/>
      <c r="AM239" s="649">
        <f t="shared" si="165"/>
        <v>0</v>
      </c>
      <c r="AN239" s="650"/>
      <c r="AO239" s="649">
        <f t="shared" si="166"/>
        <v>0</v>
      </c>
      <c r="AP239" s="650"/>
      <c r="AQ239" s="649">
        <f t="shared" si="167"/>
        <v>0</v>
      </c>
      <c r="AR239" s="650"/>
      <c r="AS239" s="651">
        <f t="shared" si="168"/>
        <v>0</v>
      </c>
      <c r="AT239" s="652"/>
      <c r="AU239" s="141">
        <f t="shared" si="181"/>
        <v>0</v>
      </c>
      <c r="AV239" s="141">
        <f t="shared" si="182"/>
        <v>0</v>
      </c>
      <c r="AW239" s="141">
        <f t="shared" si="183"/>
        <v>0</v>
      </c>
      <c r="AX239" s="141">
        <f t="shared" si="184"/>
        <v>0</v>
      </c>
      <c r="AY239" s="141">
        <f t="shared" si="185"/>
        <v>0</v>
      </c>
      <c r="AZ239" s="141">
        <f t="shared" si="186"/>
        <v>0</v>
      </c>
      <c r="BA239" s="141">
        <f t="shared" si="187"/>
        <v>0</v>
      </c>
      <c r="BB239" s="141">
        <f t="shared" si="188"/>
        <v>0</v>
      </c>
      <c r="BC239" s="141">
        <f t="shared" si="189"/>
        <v>0</v>
      </c>
      <c r="BD239" s="141">
        <f t="shared" si="190"/>
        <v>0</v>
      </c>
      <c r="BE239" s="141">
        <f t="shared" si="191"/>
        <v>0</v>
      </c>
      <c r="BF239" s="141">
        <f t="shared" si="192"/>
        <v>0</v>
      </c>
      <c r="BG239" s="141">
        <f t="shared" si="169"/>
        <v>0</v>
      </c>
      <c r="BH239" s="141">
        <f t="shared" si="170"/>
        <v>0</v>
      </c>
      <c r="BI239" s="141">
        <f t="shared" si="193"/>
        <v>0</v>
      </c>
      <c r="BJ239" s="147">
        <f t="shared" si="171"/>
        <v>0</v>
      </c>
      <c r="BK239" s="141">
        <f t="shared" si="172"/>
        <v>0</v>
      </c>
      <c r="BL239" s="141">
        <f t="shared" si="173"/>
        <v>0</v>
      </c>
      <c r="BM239" s="141">
        <f t="shared" si="174"/>
        <v>0</v>
      </c>
      <c r="BN239" s="141">
        <f t="shared" si="175"/>
        <v>0</v>
      </c>
      <c r="BO239" s="141">
        <f t="shared" si="176"/>
        <v>0</v>
      </c>
      <c r="BP239" s="141">
        <f t="shared" si="177"/>
        <v>0</v>
      </c>
      <c r="BT239" s="177"/>
      <c r="BU239" s="173"/>
      <c r="BV239" s="174"/>
      <c r="BW239" s="117"/>
      <c r="BX239" s="180"/>
      <c r="BY239" s="117"/>
      <c r="BZ239" s="181"/>
      <c r="CA239" s="182"/>
      <c r="CB239" s="176"/>
      <c r="CC239" s="176"/>
      <c r="CF239" s="170"/>
      <c r="CG239" s="171"/>
      <c r="CH239" s="170"/>
      <c r="CI239" s="171"/>
    </row>
    <row r="240" spans="2:87" s="108" customFormat="1" ht="15" hidden="1" customHeight="1">
      <c r="B240" s="109"/>
      <c r="C240" s="141" t="e">
        <f t="shared" si="152"/>
        <v>#NUM!</v>
      </c>
      <c r="D240" s="141">
        <f t="shared" si="154"/>
        <v>0</v>
      </c>
      <c r="E240" s="141"/>
      <c r="F240" s="142">
        <f t="shared" si="178"/>
        <v>0</v>
      </c>
      <c r="G240" s="143" t="s">
        <v>146</v>
      </c>
      <c r="H240" s="80">
        <f t="shared" si="155"/>
        <v>0</v>
      </c>
      <c r="I240" s="80" t="str">
        <f t="shared" si="179"/>
        <v/>
      </c>
      <c r="J240" s="144"/>
      <c r="K240" s="144"/>
      <c r="L240" s="144"/>
      <c r="M240" s="76"/>
      <c r="N240" s="77"/>
      <c r="O240" s="145"/>
      <c r="P240" s="77">
        <f t="shared" si="180"/>
        <v>0</v>
      </c>
      <c r="Q240" s="78"/>
      <c r="R240" s="79"/>
      <c r="S240" s="146">
        <f t="shared" si="153"/>
        <v>0</v>
      </c>
      <c r="T240" s="141" t="b">
        <f t="shared" si="194"/>
        <v>0</v>
      </c>
      <c r="U240" s="649">
        <f t="shared" si="156"/>
        <v>0</v>
      </c>
      <c r="V240" s="650"/>
      <c r="W240" s="649">
        <f t="shared" si="157"/>
        <v>0</v>
      </c>
      <c r="X240" s="650"/>
      <c r="Y240" s="649">
        <f t="shared" si="158"/>
        <v>0</v>
      </c>
      <c r="Z240" s="650"/>
      <c r="AA240" s="649">
        <f t="shared" si="159"/>
        <v>0</v>
      </c>
      <c r="AB240" s="650"/>
      <c r="AC240" s="649">
        <f t="shared" si="160"/>
        <v>0</v>
      </c>
      <c r="AD240" s="650"/>
      <c r="AE240" s="649">
        <f t="shared" si="161"/>
        <v>0</v>
      </c>
      <c r="AF240" s="650"/>
      <c r="AG240" s="649">
        <f t="shared" si="162"/>
        <v>0</v>
      </c>
      <c r="AH240" s="650"/>
      <c r="AI240" s="649">
        <f t="shared" si="163"/>
        <v>0</v>
      </c>
      <c r="AJ240" s="650"/>
      <c r="AK240" s="649">
        <f t="shared" si="164"/>
        <v>0</v>
      </c>
      <c r="AL240" s="650"/>
      <c r="AM240" s="649">
        <f t="shared" si="165"/>
        <v>0</v>
      </c>
      <c r="AN240" s="650"/>
      <c r="AO240" s="649">
        <f t="shared" si="166"/>
        <v>0</v>
      </c>
      <c r="AP240" s="650"/>
      <c r="AQ240" s="649">
        <f t="shared" si="167"/>
        <v>0</v>
      </c>
      <c r="AR240" s="650"/>
      <c r="AS240" s="651">
        <f t="shared" si="168"/>
        <v>0</v>
      </c>
      <c r="AT240" s="652"/>
      <c r="AU240" s="141">
        <f t="shared" si="181"/>
        <v>0</v>
      </c>
      <c r="AV240" s="141">
        <f t="shared" si="182"/>
        <v>0</v>
      </c>
      <c r="AW240" s="141">
        <f t="shared" si="183"/>
        <v>0</v>
      </c>
      <c r="AX240" s="141">
        <f t="shared" si="184"/>
        <v>0</v>
      </c>
      <c r="AY240" s="141">
        <f t="shared" si="185"/>
        <v>0</v>
      </c>
      <c r="AZ240" s="141">
        <f t="shared" si="186"/>
        <v>0</v>
      </c>
      <c r="BA240" s="141">
        <f t="shared" si="187"/>
        <v>0</v>
      </c>
      <c r="BB240" s="141">
        <f t="shared" si="188"/>
        <v>0</v>
      </c>
      <c r="BC240" s="141">
        <f t="shared" si="189"/>
        <v>0</v>
      </c>
      <c r="BD240" s="141">
        <f t="shared" si="190"/>
        <v>0</v>
      </c>
      <c r="BE240" s="141">
        <f t="shared" si="191"/>
        <v>0</v>
      </c>
      <c r="BF240" s="141">
        <f t="shared" si="192"/>
        <v>0</v>
      </c>
      <c r="BG240" s="141">
        <f t="shared" si="169"/>
        <v>0</v>
      </c>
      <c r="BH240" s="141">
        <f t="shared" si="170"/>
        <v>0</v>
      </c>
      <c r="BI240" s="141">
        <f t="shared" si="193"/>
        <v>0</v>
      </c>
      <c r="BJ240" s="147">
        <f t="shared" si="171"/>
        <v>0</v>
      </c>
      <c r="BK240" s="141">
        <f t="shared" si="172"/>
        <v>0</v>
      </c>
      <c r="BL240" s="141">
        <f t="shared" si="173"/>
        <v>0</v>
      </c>
      <c r="BM240" s="141">
        <f t="shared" si="174"/>
        <v>0</v>
      </c>
      <c r="BN240" s="141">
        <f t="shared" si="175"/>
        <v>0</v>
      </c>
      <c r="BO240" s="141">
        <f t="shared" si="176"/>
        <v>0</v>
      </c>
      <c r="BP240" s="141">
        <f t="shared" si="177"/>
        <v>0</v>
      </c>
      <c r="BT240" s="177"/>
      <c r="BU240" s="173"/>
      <c r="BV240" s="174"/>
      <c r="BW240" s="117"/>
      <c r="BX240" s="180"/>
      <c r="BY240" s="117"/>
      <c r="BZ240" s="181"/>
      <c r="CA240" s="182"/>
      <c r="CB240" s="176"/>
      <c r="CC240" s="176"/>
      <c r="CF240" s="170"/>
      <c r="CG240" s="171"/>
      <c r="CH240" s="170"/>
      <c r="CI240" s="171"/>
    </row>
    <row r="241" spans="2:87" s="108" customFormat="1" ht="15" hidden="1" customHeight="1">
      <c r="B241" s="109"/>
      <c r="C241" s="141" t="e">
        <f t="shared" si="152"/>
        <v>#NUM!</v>
      </c>
      <c r="D241" s="141">
        <f t="shared" si="154"/>
        <v>0</v>
      </c>
      <c r="E241" s="141" t="str">
        <f>IFERROR(DGET($BV$30:$CC$82,F241,G240:G241),"")</f>
        <v/>
      </c>
      <c r="F241" s="142">
        <f t="shared" si="178"/>
        <v>0</v>
      </c>
      <c r="G241" s="142" t="b">
        <f>IF(Q241&gt;0,IF(AND(S241&gt;0,S241&lt;2),CONCATENATE(Q241," ","0-2"),IF(AND(S241&gt;=2,S241&lt;8),CONCATENATE(Q241," ","2-8"),)))</f>
        <v>0</v>
      </c>
      <c r="H241" s="80">
        <f t="shared" si="155"/>
        <v>0</v>
      </c>
      <c r="I241" s="80" t="str">
        <f t="shared" si="179"/>
        <v/>
      </c>
      <c r="J241" s="76"/>
      <c r="K241" s="76"/>
      <c r="L241" s="76"/>
      <c r="M241" s="80"/>
      <c r="N241" s="79"/>
      <c r="O241" s="148"/>
      <c r="P241" s="77">
        <f t="shared" si="180"/>
        <v>0</v>
      </c>
      <c r="Q241" s="81"/>
      <c r="R241" s="77"/>
      <c r="S241" s="146">
        <f t="shared" si="153"/>
        <v>0</v>
      </c>
      <c r="T241" s="141" t="b">
        <f t="shared" si="194"/>
        <v>0</v>
      </c>
      <c r="U241" s="649">
        <f t="shared" si="156"/>
        <v>0</v>
      </c>
      <c r="V241" s="650"/>
      <c r="W241" s="649">
        <f t="shared" si="157"/>
        <v>0</v>
      </c>
      <c r="X241" s="650"/>
      <c r="Y241" s="649">
        <f t="shared" si="158"/>
        <v>0</v>
      </c>
      <c r="Z241" s="650"/>
      <c r="AA241" s="649">
        <f t="shared" si="159"/>
        <v>0</v>
      </c>
      <c r="AB241" s="650"/>
      <c r="AC241" s="649">
        <f t="shared" si="160"/>
        <v>0</v>
      </c>
      <c r="AD241" s="650"/>
      <c r="AE241" s="649">
        <f t="shared" si="161"/>
        <v>0</v>
      </c>
      <c r="AF241" s="650"/>
      <c r="AG241" s="649">
        <f t="shared" si="162"/>
        <v>0</v>
      </c>
      <c r="AH241" s="650"/>
      <c r="AI241" s="649">
        <f t="shared" si="163"/>
        <v>0</v>
      </c>
      <c r="AJ241" s="650"/>
      <c r="AK241" s="649">
        <f t="shared" si="164"/>
        <v>0</v>
      </c>
      <c r="AL241" s="650"/>
      <c r="AM241" s="649">
        <f t="shared" si="165"/>
        <v>0</v>
      </c>
      <c r="AN241" s="650"/>
      <c r="AO241" s="649">
        <f t="shared" si="166"/>
        <v>0</v>
      </c>
      <c r="AP241" s="650"/>
      <c r="AQ241" s="649">
        <f t="shared" si="167"/>
        <v>0</v>
      </c>
      <c r="AR241" s="650"/>
      <c r="AS241" s="651">
        <f t="shared" si="168"/>
        <v>0</v>
      </c>
      <c r="AT241" s="652"/>
      <c r="AU241" s="141">
        <f t="shared" si="181"/>
        <v>0</v>
      </c>
      <c r="AV241" s="141">
        <f t="shared" si="182"/>
        <v>0</v>
      </c>
      <c r="AW241" s="141">
        <f t="shared" si="183"/>
        <v>0</v>
      </c>
      <c r="AX241" s="141">
        <f t="shared" si="184"/>
        <v>0</v>
      </c>
      <c r="AY241" s="141">
        <f t="shared" si="185"/>
        <v>0</v>
      </c>
      <c r="AZ241" s="141">
        <f t="shared" si="186"/>
        <v>0</v>
      </c>
      <c r="BA241" s="141">
        <f t="shared" si="187"/>
        <v>0</v>
      </c>
      <c r="BB241" s="141">
        <f t="shared" si="188"/>
        <v>0</v>
      </c>
      <c r="BC241" s="141">
        <f t="shared" si="189"/>
        <v>0</v>
      </c>
      <c r="BD241" s="141">
        <f t="shared" si="190"/>
        <v>0</v>
      </c>
      <c r="BE241" s="141">
        <f t="shared" si="191"/>
        <v>0</v>
      </c>
      <c r="BF241" s="141">
        <f t="shared" si="192"/>
        <v>0</v>
      </c>
      <c r="BG241" s="141">
        <f t="shared" si="169"/>
        <v>0</v>
      </c>
      <c r="BH241" s="141">
        <f t="shared" si="170"/>
        <v>0</v>
      </c>
      <c r="BI241" s="141">
        <f t="shared" si="193"/>
        <v>0</v>
      </c>
      <c r="BJ241" s="147">
        <f t="shared" si="171"/>
        <v>0</v>
      </c>
      <c r="BK241" s="141">
        <f t="shared" si="172"/>
        <v>0</v>
      </c>
      <c r="BL241" s="141">
        <f t="shared" si="173"/>
        <v>0</v>
      </c>
      <c r="BM241" s="141">
        <f t="shared" si="174"/>
        <v>0</v>
      </c>
      <c r="BN241" s="141">
        <f t="shared" si="175"/>
        <v>0</v>
      </c>
      <c r="BO241" s="141">
        <f t="shared" si="176"/>
        <v>0</v>
      </c>
      <c r="BP241" s="141">
        <f t="shared" si="177"/>
        <v>0</v>
      </c>
      <c r="BT241" s="177"/>
      <c r="BU241" s="173"/>
      <c r="BV241" s="174"/>
      <c r="BW241" s="117"/>
      <c r="BX241" s="180"/>
      <c r="BY241" s="117"/>
      <c r="BZ241" s="181"/>
      <c r="CA241" s="182"/>
      <c r="CB241" s="176"/>
      <c r="CC241" s="176"/>
      <c r="CF241" s="170"/>
      <c r="CG241" s="171"/>
      <c r="CH241" s="170"/>
      <c r="CI241" s="171"/>
    </row>
    <row r="242" spans="2:87" s="108" customFormat="1" ht="15" hidden="1" customHeight="1">
      <c r="B242" s="109"/>
      <c r="C242" s="141" t="e">
        <f t="shared" si="152"/>
        <v>#NUM!</v>
      </c>
      <c r="D242" s="141">
        <f t="shared" si="154"/>
        <v>0</v>
      </c>
      <c r="E242" s="141"/>
      <c r="F242" s="142">
        <f t="shared" si="178"/>
        <v>0</v>
      </c>
      <c r="G242" s="143" t="s">
        <v>146</v>
      </c>
      <c r="H242" s="80">
        <f t="shared" si="155"/>
        <v>0</v>
      </c>
      <c r="I242" s="80" t="str">
        <f t="shared" si="179"/>
        <v/>
      </c>
      <c r="J242" s="144"/>
      <c r="K242" s="144"/>
      <c r="L242" s="144"/>
      <c r="M242" s="76"/>
      <c r="N242" s="77"/>
      <c r="O242" s="145"/>
      <c r="P242" s="77">
        <f t="shared" si="180"/>
        <v>0</v>
      </c>
      <c r="Q242" s="78"/>
      <c r="R242" s="79"/>
      <c r="S242" s="146">
        <f t="shared" si="153"/>
        <v>0</v>
      </c>
      <c r="T242" s="141" t="b">
        <f t="shared" si="194"/>
        <v>0</v>
      </c>
      <c r="U242" s="649">
        <f t="shared" si="156"/>
        <v>0</v>
      </c>
      <c r="V242" s="650"/>
      <c r="W242" s="649">
        <f t="shared" si="157"/>
        <v>0</v>
      </c>
      <c r="X242" s="650"/>
      <c r="Y242" s="649">
        <f t="shared" si="158"/>
        <v>0</v>
      </c>
      <c r="Z242" s="650"/>
      <c r="AA242" s="649">
        <f t="shared" si="159"/>
        <v>0</v>
      </c>
      <c r="AB242" s="650"/>
      <c r="AC242" s="649">
        <f t="shared" si="160"/>
        <v>0</v>
      </c>
      <c r="AD242" s="650"/>
      <c r="AE242" s="649">
        <f t="shared" si="161"/>
        <v>0</v>
      </c>
      <c r="AF242" s="650"/>
      <c r="AG242" s="649">
        <f t="shared" si="162"/>
        <v>0</v>
      </c>
      <c r="AH242" s="650"/>
      <c r="AI242" s="649">
        <f t="shared" si="163"/>
        <v>0</v>
      </c>
      <c r="AJ242" s="650"/>
      <c r="AK242" s="649">
        <f t="shared" si="164"/>
        <v>0</v>
      </c>
      <c r="AL242" s="650"/>
      <c r="AM242" s="649">
        <f t="shared" si="165"/>
        <v>0</v>
      </c>
      <c r="AN242" s="650"/>
      <c r="AO242" s="649">
        <f t="shared" si="166"/>
        <v>0</v>
      </c>
      <c r="AP242" s="650"/>
      <c r="AQ242" s="649">
        <f t="shared" si="167"/>
        <v>0</v>
      </c>
      <c r="AR242" s="650"/>
      <c r="AS242" s="651">
        <f t="shared" si="168"/>
        <v>0</v>
      </c>
      <c r="AT242" s="652"/>
      <c r="AU242" s="141">
        <f t="shared" si="181"/>
        <v>0</v>
      </c>
      <c r="AV242" s="141">
        <f t="shared" si="182"/>
        <v>0</v>
      </c>
      <c r="AW242" s="141">
        <f t="shared" si="183"/>
        <v>0</v>
      </c>
      <c r="AX242" s="141">
        <f t="shared" si="184"/>
        <v>0</v>
      </c>
      <c r="AY242" s="141">
        <f t="shared" si="185"/>
        <v>0</v>
      </c>
      <c r="AZ242" s="141">
        <f t="shared" si="186"/>
        <v>0</v>
      </c>
      <c r="BA242" s="141">
        <f t="shared" si="187"/>
        <v>0</v>
      </c>
      <c r="BB242" s="141">
        <f t="shared" si="188"/>
        <v>0</v>
      </c>
      <c r="BC242" s="141">
        <f t="shared" si="189"/>
        <v>0</v>
      </c>
      <c r="BD242" s="141">
        <f t="shared" si="190"/>
        <v>0</v>
      </c>
      <c r="BE242" s="141">
        <f t="shared" si="191"/>
        <v>0</v>
      </c>
      <c r="BF242" s="141">
        <f t="shared" si="192"/>
        <v>0</v>
      </c>
      <c r="BG242" s="141">
        <f t="shared" si="169"/>
        <v>0</v>
      </c>
      <c r="BH242" s="141">
        <f t="shared" si="170"/>
        <v>0</v>
      </c>
      <c r="BI242" s="141">
        <f t="shared" si="193"/>
        <v>0</v>
      </c>
      <c r="BJ242" s="147">
        <f t="shared" si="171"/>
        <v>0</v>
      </c>
      <c r="BK242" s="141">
        <f t="shared" si="172"/>
        <v>0</v>
      </c>
      <c r="BL242" s="141">
        <f t="shared" si="173"/>
        <v>0</v>
      </c>
      <c r="BM242" s="141">
        <f t="shared" si="174"/>
        <v>0</v>
      </c>
      <c r="BN242" s="141">
        <f t="shared" si="175"/>
        <v>0</v>
      </c>
      <c r="BO242" s="141">
        <f t="shared" si="176"/>
        <v>0</v>
      </c>
      <c r="BP242" s="141">
        <f t="shared" si="177"/>
        <v>0</v>
      </c>
      <c r="BT242" s="177"/>
      <c r="BU242" s="173"/>
      <c r="BV242" s="174"/>
      <c r="BW242" s="117"/>
      <c r="BX242" s="180"/>
      <c r="BY242" s="117"/>
      <c r="BZ242" s="181"/>
      <c r="CA242" s="182"/>
      <c r="CB242" s="176"/>
      <c r="CC242" s="176"/>
      <c r="CF242" s="170"/>
      <c r="CG242" s="171"/>
      <c r="CH242" s="170"/>
      <c r="CI242" s="171"/>
    </row>
    <row r="243" spans="2:87" s="108" customFormat="1" ht="15" hidden="1" customHeight="1">
      <c r="B243" s="109"/>
      <c r="C243" s="141" t="e">
        <f t="shared" si="152"/>
        <v>#NUM!</v>
      </c>
      <c r="D243" s="141">
        <f t="shared" si="154"/>
        <v>0</v>
      </c>
      <c r="E243" s="141" t="str">
        <f>IFERROR(DGET($BV$30:$CC$82,F243,G242:G243),"")</f>
        <v/>
      </c>
      <c r="F243" s="142">
        <f t="shared" si="178"/>
        <v>0</v>
      </c>
      <c r="G243" s="142" t="b">
        <f>IF(Q243&gt;0,IF(AND(S243&gt;0,S243&lt;2),CONCATENATE(Q243," ","0-2"),IF(AND(S243&gt;=2,S243&lt;8),CONCATENATE(Q243," ","2-8"),)))</f>
        <v>0</v>
      </c>
      <c r="H243" s="80">
        <f t="shared" si="155"/>
        <v>0</v>
      </c>
      <c r="I243" s="80" t="str">
        <f t="shared" si="179"/>
        <v/>
      </c>
      <c r="J243" s="76"/>
      <c r="K243" s="76"/>
      <c r="L243" s="76"/>
      <c r="M243" s="80"/>
      <c r="N243" s="79"/>
      <c r="O243" s="148"/>
      <c r="P243" s="77">
        <f t="shared" si="180"/>
        <v>0</v>
      </c>
      <c r="Q243" s="81"/>
      <c r="R243" s="77"/>
      <c r="S243" s="146">
        <f t="shared" si="153"/>
        <v>0</v>
      </c>
      <c r="T243" s="141" t="b">
        <f t="shared" si="194"/>
        <v>0</v>
      </c>
      <c r="U243" s="649">
        <f t="shared" si="156"/>
        <v>0</v>
      </c>
      <c r="V243" s="650"/>
      <c r="W243" s="649">
        <f t="shared" si="157"/>
        <v>0</v>
      </c>
      <c r="X243" s="650"/>
      <c r="Y243" s="649">
        <f t="shared" si="158"/>
        <v>0</v>
      </c>
      <c r="Z243" s="650"/>
      <c r="AA243" s="649">
        <f t="shared" si="159"/>
        <v>0</v>
      </c>
      <c r="AB243" s="650"/>
      <c r="AC243" s="649">
        <f t="shared" si="160"/>
        <v>0</v>
      </c>
      <c r="AD243" s="650"/>
      <c r="AE243" s="649">
        <f t="shared" si="161"/>
        <v>0</v>
      </c>
      <c r="AF243" s="650"/>
      <c r="AG243" s="649">
        <f t="shared" si="162"/>
        <v>0</v>
      </c>
      <c r="AH243" s="650"/>
      <c r="AI243" s="649">
        <f t="shared" si="163"/>
        <v>0</v>
      </c>
      <c r="AJ243" s="650"/>
      <c r="AK243" s="649">
        <f t="shared" si="164"/>
        <v>0</v>
      </c>
      <c r="AL243" s="650"/>
      <c r="AM243" s="649">
        <f t="shared" si="165"/>
        <v>0</v>
      </c>
      <c r="AN243" s="650"/>
      <c r="AO243" s="649">
        <f t="shared" si="166"/>
        <v>0</v>
      </c>
      <c r="AP243" s="650"/>
      <c r="AQ243" s="649">
        <f t="shared" si="167"/>
        <v>0</v>
      </c>
      <c r="AR243" s="650"/>
      <c r="AS243" s="651">
        <f t="shared" si="168"/>
        <v>0</v>
      </c>
      <c r="AT243" s="652"/>
      <c r="AU243" s="141">
        <f t="shared" si="181"/>
        <v>0</v>
      </c>
      <c r="AV243" s="141">
        <f t="shared" si="182"/>
        <v>0</v>
      </c>
      <c r="AW243" s="141">
        <f t="shared" si="183"/>
        <v>0</v>
      </c>
      <c r="AX243" s="141">
        <f t="shared" si="184"/>
        <v>0</v>
      </c>
      <c r="AY243" s="141">
        <f t="shared" si="185"/>
        <v>0</v>
      </c>
      <c r="AZ243" s="141">
        <f t="shared" si="186"/>
        <v>0</v>
      </c>
      <c r="BA243" s="141">
        <f t="shared" si="187"/>
        <v>0</v>
      </c>
      <c r="BB243" s="141">
        <f t="shared" si="188"/>
        <v>0</v>
      </c>
      <c r="BC243" s="141">
        <f t="shared" si="189"/>
        <v>0</v>
      </c>
      <c r="BD243" s="141">
        <f t="shared" si="190"/>
        <v>0</v>
      </c>
      <c r="BE243" s="141">
        <f t="shared" si="191"/>
        <v>0</v>
      </c>
      <c r="BF243" s="141">
        <f t="shared" si="192"/>
        <v>0</v>
      </c>
      <c r="BG243" s="141">
        <f t="shared" si="169"/>
        <v>0</v>
      </c>
      <c r="BH243" s="141">
        <f t="shared" si="170"/>
        <v>0</v>
      </c>
      <c r="BI243" s="141">
        <f t="shared" si="193"/>
        <v>0</v>
      </c>
      <c r="BJ243" s="147">
        <f t="shared" si="171"/>
        <v>0</v>
      </c>
      <c r="BK243" s="141">
        <f t="shared" si="172"/>
        <v>0</v>
      </c>
      <c r="BL243" s="141">
        <f t="shared" si="173"/>
        <v>0</v>
      </c>
      <c r="BM243" s="141">
        <f t="shared" si="174"/>
        <v>0</v>
      </c>
      <c r="BN243" s="141">
        <f t="shared" si="175"/>
        <v>0</v>
      </c>
      <c r="BO243" s="141">
        <f t="shared" si="176"/>
        <v>0</v>
      </c>
      <c r="BP243" s="141">
        <f t="shared" si="177"/>
        <v>0</v>
      </c>
      <c r="BT243" s="177"/>
      <c r="BU243" s="173"/>
      <c r="BV243" s="174"/>
      <c r="BW243" s="117"/>
      <c r="BX243" s="180"/>
      <c r="BY243" s="117"/>
      <c r="BZ243" s="181"/>
      <c r="CA243" s="182"/>
      <c r="CB243" s="176"/>
      <c r="CC243" s="176"/>
      <c r="CF243" s="170"/>
      <c r="CG243" s="171"/>
      <c r="CH243" s="170"/>
      <c r="CI243" s="171"/>
    </row>
    <row r="244" spans="2:87" s="108" customFormat="1" ht="15" hidden="1" customHeight="1">
      <c r="B244" s="109"/>
      <c r="C244" s="141" t="e">
        <f t="shared" si="152"/>
        <v>#NUM!</v>
      </c>
      <c r="D244" s="141">
        <f t="shared" si="154"/>
        <v>0</v>
      </c>
      <c r="E244" s="141"/>
      <c r="F244" s="142">
        <f t="shared" si="178"/>
        <v>0</v>
      </c>
      <c r="G244" s="143" t="s">
        <v>146</v>
      </c>
      <c r="H244" s="80">
        <f t="shared" si="155"/>
        <v>0</v>
      </c>
      <c r="I244" s="80" t="str">
        <f t="shared" si="179"/>
        <v/>
      </c>
      <c r="J244" s="144"/>
      <c r="K244" s="144"/>
      <c r="L244" s="144"/>
      <c r="M244" s="76"/>
      <c r="N244" s="77"/>
      <c r="O244" s="145"/>
      <c r="P244" s="77">
        <f t="shared" si="180"/>
        <v>0</v>
      </c>
      <c r="Q244" s="78"/>
      <c r="R244" s="79"/>
      <c r="S244" s="146">
        <f t="shared" si="153"/>
        <v>0</v>
      </c>
      <c r="T244" s="141" t="b">
        <f t="shared" si="194"/>
        <v>0</v>
      </c>
      <c r="U244" s="649">
        <f t="shared" si="156"/>
        <v>0</v>
      </c>
      <c r="V244" s="650"/>
      <c r="W244" s="649">
        <f t="shared" si="157"/>
        <v>0</v>
      </c>
      <c r="X244" s="650"/>
      <c r="Y244" s="649">
        <f t="shared" si="158"/>
        <v>0</v>
      </c>
      <c r="Z244" s="650"/>
      <c r="AA244" s="649">
        <f t="shared" si="159"/>
        <v>0</v>
      </c>
      <c r="AB244" s="650"/>
      <c r="AC244" s="649">
        <f t="shared" si="160"/>
        <v>0</v>
      </c>
      <c r="AD244" s="650"/>
      <c r="AE244" s="649">
        <f t="shared" si="161"/>
        <v>0</v>
      </c>
      <c r="AF244" s="650"/>
      <c r="AG244" s="649">
        <f t="shared" si="162"/>
        <v>0</v>
      </c>
      <c r="AH244" s="650"/>
      <c r="AI244" s="649">
        <f t="shared" si="163"/>
        <v>0</v>
      </c>
      <c r="AJ244" s="650"/>
      <c r="AK244" s="649">
        <f t="shared" si="164"/>
        <v>0</v>
      </c>
      <c r="AL244" s="650"/>
      <c r="AM244" s="649">
        <f t="shared" si="165"/>
        <v>0</v>
      </c>
      <c r="AN244" s="650"/>
      <c r="AO244" s="649">
        <f t="shared" si="166"/>
        <v>0</v>
      </c>
      <c r="AP244" s="650"/>
      <c r="AQ244" s="649">
        <f t="shared" si="167"/>
        <v>0</v>
      </c>
      <c r="AR244" s="650"/>
      <c r="AS244" s="651">
        <f t="shared" si="168"/>
        <v>0</v>
      </c>
      <c r="AT244" s="652"/>
      <c r="AU244" s="141">
        <f t="shared" si="181"/>
        <v>0</v>
      </c>
      <c r="AV244" s="141">
        <f t="shared" si="182"/>
        <v>0</v>
      </c>
      <c r="AW244" s="141">
        <f t="shared" si="183"/>
        <v>0</v>
      </c>
      <c r="AX244" s="141">
        <f t="shared" si="184"/>
        <v>0</v>
      </c>
      <c r="AY244" s="141">
        <f t="shared" si="185"/>
        <v>0</v>
      </c>
      <c r="AZ244" s="141">
        <f t="shared" si="186"/>
        <v>0</v>
      </c>
      <c r="BA244" s="141">
        <f t="shared" si="187"/>
        <v>0</v>
      </c>
      <c r="BB244" s="141">
        <f t="shared" si="188"/>
        <v>0</v>
      </c>
      <c r="BC244" s="141">
        <f t="shared" si="189"/>
        <v>0</v>
      </c>
      <c r="BD244" s="141">
        <f t="shared" si="190"/>
        <v>0</v>
      </c>
      <c r="BE244" s="141">
        <f t="shared" si="191"/>
        <v>0</v>
      </c>
      <c r="BF244" s="141">
        <f t="shared" si="192"/>
        <v>0</v>
      </c>
      <c r="BG244" s="141">
        <f t="shared" si="169"/>
        <v>0</v>
      </c>
      <c r="BH244" s="141">
        <f t="shared" si="170"/>
        <v>0</v>
      </c>
      <c r="BI244" s="141">
        <f t="shared" si="193"/>
        <v>0</v>
      </c>
      <c r="BJ244" s="147">
        <f t="shared" si="171"/>
        <v>0</v>
      </c>
      <c r="BK244" s="141">
        <f t="shared" si="172"/>
        <v>0</v>
      </c>
      <c r="BL244" s="141">
        <f t="shared" si="173"/>
        <v>0</v>
      </c>
      <c r="BM244" s="141">
        <f t="shared" si="174"/>
        <v>0</v>
      </c>
      <c r="BN244" s="141">
        <f t="shared" si="175"/>
        <v>0</v>
      </c>
      <c r="BO244" s="141">
        <f t="shared" si="176"/>
        <v>0</v>
      </c>
      <c r="BP244" s="141">
        <f t="shared" si="177"/>
        <v>0</v>
      </c>
      <c r="BT244" s="177"/>
      <c r="BU244" s="173"/>
      <c r="BV244" s="174"/>
      <c r="BW244" s="117"/>
      <c r="BX244" s="180"/>
      <c r="BY244" s="117"/>
      <c r="BZ244" s="181"/>
      <c r="CA244" s="182"/>
      <c r="CB244" s="176"/>
      <c r="CC244" s="176"/>
      <c r="CF244" s="170"/>
      <c r="CG244" s="171"/>
      <c r="CH244" s="170"/>
      <c r="CI244" s="171"/>
    </row>
    <row r="245" spans="2:87" s="108" customFormat="1" ht="15" hidden="1" customHeight="1">
      <c r="B245" s="109"/>
      <c r="C245" s="141" t="e">
        <f t="shared" si="152"/>
        <v>#NUM!</v>
      </c>
      <c r="D245" s="141">
        <f t="shared" si="154"/>
        <v>0</v>
      </c>
      <c r="E245" s="141" t="str">
        <f>IFERROR(DGET($BV$30:$CC$82,F245,G244:G245),"")</f>
        <v/>
      </c>
      <c r="F245" s="142">
        <f t="shared" si="178"/>
        <v>0</v>
      </c>
      <c r="G245" s="142" t="b">
        <f>IF(Q245&gt;0,IF(AND(S245&gt;0,S245&lt;2),CONCATENATE(Q245," ","0-2"),IF(AND(S245&gt;=2,S245&lt;8),CONCATENATE(Q245," ","2-8"),)))</f>
        <v>0</v>
      </c>
      <c r="H245" s="80">
        <f t="shared" si="155"/>
        <v>0</v>
      </c>
      <c r="I245" s="80" t="str">
        <f t="shared" si="179"/>
        <v/>
      </c>
      <c r="J245" s="76"/>
      <c r="K245" s="76"/>
      <c r="L245" s="76"/>
      <c r="M245" s="80"/>
      <c r="N245" s="79"/>
      <c r="O245" s="148"/>
      <c r="P245" s="77">
        <f t="shared" si="180"/>
        <v>0</v>
      </c>
      <c r="Q245" s="81"/>
      <c r="R245" s="77"/>
      <c r="S245" s="146">
        <f t="shared" si="153"/>
        <v>0</v>
      </c>
      <c r="T245" s="141" t="b">
        <f t="shared" si="194"/>
        <v>0</v>
      </c>
      <c r="U245" s="649">
        <f t="shared" si="156"/>
        <v>0</v>
      </c>
      <c r="V245" s="650"/>
      <c r="W245" s="649">
        <f t="shared" si="157"/>
        <v>0</v>
      </c>
      <c r="X245" s="650"/>
      <c r="Y245" s="649">
        <f t="shared" si="158"/>
        <v>0</v>
      </c>
      <c r="Z245" s="650"/>
      <c r="AA245" s="649">
        <f t="shared" si="159"/>
        <v>0</v>
      </c>
      <c r="AB245" s="650"/>
      <c r="AC245" s="649">
        <f t="shared" si="160"/>
        <v>0</v>
      </c>
      <c r="AD245" s="650"/>
      <c r="AE245" s="649">
        <f t="shared" si="161"/>
        <v>0</v>
      </c>
      <c r="AF245" s="650"/>
      <c r="AG245" s="649">
        <f t="shared" si="162"/>
        <v>0</v>
      </c>
      <c r="AH245" s="650"/>
      <c r="AI245" s="649">
        <f t="shared" si="163"/>
        <v>0</v>
      </c>
      <c r="AJ245" s="650"/>
      <c r="AK245" s="649">
        <f t="shared" si="164"/>
        <v>0</v>
      </c>
      <c r="AL245" s="650"/>
      <c r="AM245" s="649">
        <f t="shared" si="165"/>
        <v>0</v>
      </c>
      <c r="AN245" s="650"/>
      <c r="AO245" s="649">
        <f t="shared" si="166"/>
        <v>0</v>
      </c>
      <c r="AP245" s="650"/>
      <c r="AQ245" s="649">
        <f t="shared" si="167"/>
        <v>0</v>
      </c>
      <c r="AR245" s="650"/>
      <c r="AS245" s="651">
        <f t="shared" si="168"/>
        <v>0</v>
      </c>
      <c r="AT245" s="652"/>
      <c r="AU245" s="141">
        <f t="shared" si="181"/>
        <v>0</v>
      </c>
      <c r="AV245" s="141">
        <f t="shared" si="182"/>
        <v>0</v>
      </c>
      <c r="AW245" s="141">
        <f t="shared" si="183"/>
        <v>0</v>
      </c>
      <c r="AX245" s="141">
        <f t="shared" si="184"/>
        <v>0</v>
      </c>
      <c r="AY245" s="141">
        <f t="shared" si="185"/>
        <v>0</v>
      </c>
      <c r="AZ245" s="141">
        <f t="shared" si="186"/>
        <v>0</v>
      </c>
      <c r="BA245" s="141">
        <f t="shared" si="187"/>
        <v>0</v>
      </c>
      <c r="BB245" s="141">
        <f t="shared" si="188"/>
        <v>0</v>
      </c>
      <c r="BC245" s="141">
        <f t="shared" si="189"/>
        <v>0</v>
      </c>
      <c r="BD245" s="141">
        <f t="shared" si="190"/>
        <v>0</v>
      </c>
      <c r="BE245" s="141">
        <f t="shared" si="191"/>
        <v>0</v>
      </c>
      <c r="BF245" s="141">
        <f t="shared" si="192"/>
        <v>0</v>
      </c>
      <c r="BG245" s="141">
        <f t="shared" si="169"/>
        <v>0</v>
      </c>
      <c r="BH245" s="141">
        <f t="shared" si="170"/>
        <v>0</v>
      </c>
      <c r="BI245" s="141">
        <f t="shared" si="193"/>
        <v>0</v>
      </c>
      <c r="BJ245" s="147">
        <f t="shared" si="171"/>
        <v>0</v>
      </c>
      <c r="BK245" s="141">
        <f t="shared" si="172"/>
        <v>0</v>
      </c>
      <c r="BL245" s="141">
        <f t="shared" si="173"/>
        <v>0</v>
      </c>
      <c r="BM245" s="141">
        <f t="shared" si="174"/>
        <v>0</v>
      </c>
      <c r="BN245" s="141">
        <f t="shared" si="175"/>
        <v>0</v>
      </c>
      <c r="BO245" s="141">
        <f t="shared" si="176"/>
        <v>0</v>
      </c>
      <c r="BP245" s="141">
        <f t="shared" si="177"/>
        <v>0</v>
      </c>
      <c r="BT245" s="177"/>
      <c r="BU245" s="173"/>
      <c r="BV245" s="174"/>
      <c r="BW245" s="117"/>
      <c r="BX245" s="180"/>
      <c r="BY245" s="117"/>
      <c r="BZ245" s="181"/>
      <c r="CA245" s="182"/>
      <c r="CB245" s="176"/>
      <c r="CC245" s="176"/>
      <c r="CF245" s="170"/>
      <c r="CG245" s="171"/>
      <c r="CH245" s="170"/>
      <c r="CI245" s="171"/>
    </row>
    <row r="246" spans="2:87" s="108" customFormat="1" ht="15" hidden="1" customHeight="1">
      <c r="B246" s="109"/>
      <c r="C246" s="141" t="e">
        <f t="shared" si="152"/>
        <v>#NUM!</v>
      </c>
      <c r="D246" s="141">
        <f t="shared" si="154"/>
        <v>0</v>
      </c>
      <c r="E246" s="141"/>
      <c r="F246" s="142">
        <f t="shared" si="178"/>
        <v>0</v>
      </c>
      <c r="G246" s="143" t="s">
        <v>146</v>
      </c>
      <c r="H246" s="80">
        <f t="shared" si="155"/>
        <v>0</v>
      </c>
      <c r="I246" s="80" t="str">
        <f t="shared" si="179"/>
        <v/>
      </c>
      <c r="J246" s="144"/>
      <c r="K246" s="144"/>
      <c r="L246" s="144"/>
      <c r="M246" s="76"/>
      <c r="N246" s="77"/>
      <c r="O246" s="145"/>
      <c r="P246" s="77">
        <f t="shared" si="180"/>
        <v>0</v>
      </c>
      <c r="Q246" s="78"/>
      <c r="R246" s="79"/>
      <c r="S246" s="146">
        <f t="shared" si="153"/>
        <v>0</v>
      </c>
      <c r="T246" s="141" t="b">
        <f t="shared" si="194"/>
        <v>0</v>
      </c>
      <c r="U246" s="649">
        <f t="shared" si="156"/>
        <v>0</v>
      </c>
      <c r="V246" s="650"/>
      <c r="W246" s="649">
        <f t="shared" si="157"/>
        <v>0</v>
      </c>
      <c r="X246" s="650"/>
      <c r="Y246" s="649">
        <f t="shared" si="158"/>
        <v>0</v>
      </c>
      <c r="Z246" s="650"/>
      <c r="AA246" s="649">
        <f t="shared" si="159"/>
        <v>0</v>
      </c>
      <c r="AB246" s="650"/>
      <c r="AC246" s="649">
        <f t="shared" si="160"/>
        <v>0</v>
      </c>
      <c r="AD246" s="650"/>
      <c r="AE246" s="649">
        <f t="shared" si="161"/>
        <v>0</v>
      </c>
      <c r="AF246" s="650"/>
      <c r="AG246" s="649">
        <f t="shared" si="162"/>
        <v>0</v>
      </c>
      <c r="AH246" s="650"/>
      <c r="AI246" s="649">
        <f t="shared" si="163"/>
        <v>0</v>
      </c>
      <c r="AJ246" s="650"/>
      <c r="AK246" s="649">
        <f t="shared" si="164"/>
        <v>0</v>
      </c>
      <c r="AL246" s="650"/>
      <c r="AM246" s="649">
        <f t="shared" si="165"/>
        <v>0</v>
      </c>
      <c r="AN246" s="650"/>
      <c r="AO246" s="649">
        <f t="shared" si="166"/>
        <v>0</v>
      </c>
      <c r="AP246" s="650"/>
      <c r="AQ246" s="649">
        <f t="shared" si="167"/>
        <v>0</v>
      </c>
      <c r="AR246" s="650"/>
      <c r="AS246" s="651">
        <f t="shared" si="168"/>
        <v>0</v>
      </c>
      <c r="AT246" s="652"/>
      <c r="AU246" s="141">
        <f t="shared" si="181"/>
        <v>0</v>
      </c>
      <c r="AV246" s="141">
        <f t="shared" si="182"/>
        <v>0</v>
      </c>
      <c r="AW246" s="141">
        <f t="shared" si="183"/>
        <v>0</v>
      </c>
      <c r="AX246" s="141">
        <f t="shared" si="184"/>
        <v>0</v>
      </c>
      <c r="AY246" s="141">
        <f t="shared" si="185"/>
        <v>0</v>
      </c>
      <c r="AZ246" s="141">
        <f t="shared" si="186"/>
        <v>0</v>
      </c>
      <c r="BA246" s="141">
        <f t="shared" si="187"/>
        <v>0</v>
      </c>
      <c r="BB246" s="141">
        <f t="shared" si="188"/>
        <v>0</v>
      </c>
      <c r="BC246" s="141">
        <f t="shared" si="189"/>
        <v>0</v>
      </c>
      <c r="BD246" s="141">
        <f t="shared" si="190"/>
        <v>0</v>
      </c>
      <c r="BE246" s="141">
        <f t="shared" si="191"/>
        <v>0</v>
      </c>
      <c r="BF246" s="141">
        <f t="shared" si="192"/>
        <v>0</v>
      </c>
      <c r="BG246" s="141">
        <f t="shared" si="169"/>
        <v>0</v>
      </c>
      <c r="BH246" s="141">
        <f t="shared" si="170"/>
        <v>0</v>
      </c>
      <c r="BI246" s="141">
        <f t="shared" si="193"/>
        <v>0</v>
      </c>
      <c r="BJ246" s="147">
        <f t="shared" si="171"/>
        <v>0</v>
      </c>
      <c r="BK246" s="141">
        <f t="shared" si="172"/>
        <v>0</v>
      </c>
      <c r="BL246" s="141">
        <f t="shared" si="173"/>
        <v>0</v>
      </c>
      <c r="BM246" s="141">
        <f t="shared" si="174"/>
        <v>0</v>
      </c>
      <c r="BN246" s="141">
        <f t="shared" si="175"/>
        <v>0</v>
      </c>
      <c r="BO246" s="141">
        <f t="shared" si="176"/>
        <v>0</v>
      </c>
      <c r="BP246" s="141">
        <f t="shared" si="177"/>
        <v>0</v>
      </c>
      <c r="BT246" s="177"/>
      <c r="BU246" s="173"/>
      <c r="BV246" s="174"/>
      <c r="BW246" s="117"/>
      <c r="BX246" s="180"/>
      <c r="BY246" s="117"/>
      <c r="BZ246" s="181"/>
      <c r="CA246" s="182"/>
      <c r="CB246" s="176"/>
      <c r="CC246" s="176"/>
      <c r="CF246" s="170"/>
      <c r="CG246" s="171"/>
      <c r="CH246" s="170"/>
      <c r="CI246" s="171"/>
    </row>
    <row r="247" spans="2:87" s="108" customFormat="1" ht="15" hidden="1" customHeight="1">
      <c r="B247" s="109"/>
      <c r="C247" s="141" t="e">
        <f t="shared" si="152"/>
        <v>#NUM!</v>
      </c>
      <c r="D247" s="141">
        <f t="shared" si="154"/>
        <v>0</v>
      </c>
      <c r="E247" s="141" t="str">
        <f>IFERROR(DGET($BV$30:$CC$82,F247,G246:G247),"")</f>
        <v/>
      </c>
      <c r="F247" s="142">
        <f t="shared" si="178"/>
        <v>0</v>
      </c>
      <c r="G247" s="142" t="b">
        <f>IF(Q247&gt;0,IF(AND(S247&gt;0,S247&lt;2),CONCATENATE(Q247," ","0-2"),IF(AND(S247&gt;=2,S247&lt;8),CONCATENATE(Q247," ","2-8"),)))</f>
        <v>0</v>
      </c>
      <c r="H247" s="80">
        <f t="shared" si="155"/>
        <v>0</v>
      </c>
      <c r="I247" s="80" t="str">
        <f t="shared" si="179"/>
        <v/>
      </c>
      <c r="J247" s="76"/>
      <c r="K247" s="76"/>
      <c r="L247" s="76"/>
      <c r="M247" s="80"/>
      <c r="N247" s="79"/>
      <c r="O247" s="148"/>
      <c r="P247" s="77">
        <f t="shared" si="180"/>
        <v>0</v>
      </c>
      <c r="Q247" s="81"/>
      <c r="R247" s="77"/>
      <c r="S247" s="146">
        <f t="shared" si="153"/>
        <v>0</v>
      </c>
      <c r="T247" s="141" t="b">
        <f t="shared" si="194"/>
        <v>0</v>
      </c>
      <c r="U247" s="649">
        <f t="shared" si="156"/>
        <v>0</v>
      </c>
      <c r="V247" s="650"/>
      <c r="W247" s="649">
        <f t="shared" si="157"/>
        <v>0</v>
      </c>
      <c r="X247" s="650"/>
      <c r="Y247" s="649">
        <f t="shared" si="158"/>
        <v>0</v>
      </c>
      <c r="Z247" s="650"/>
      <c r="AA247" s="649">
        <f t="shared" si="159"/>
        <v>0</v>
      </c>
      <c r="AB247" s="650"/>
      <c r="AC247" s="649">
        <f t="shared" si="160"/>
        <v>0</v>
      </c>
      <c r="AD247" s="650"/>
      <c r="AE247" s="649">
        <f t="shared" si="161"/>
        <v>0</v>
      </c>
      <c r="AF247" s="650"/>
      <c r="AG247" s="649">
        <f t="shared" si="162"/>
        <v>0</v>
      </c>
      <c r="AH247" s="650"/>
      <c r="AI247" s="649">
        <f t="shared" si="163"/>
        <v>0</v>
      </c>
      <c r="AJ247" s="650"/>
      <c r="AK247" s="649">
        <f t="shared" si="164"/>
        <v>0</v>
      </c>
      <c r="AL247" s="650"/>
      <c r="AM247" s="649">
        <f t="shared" si="165"/>
        <v>0</v>
      </c>
      <c r="AN247" s="650"/>
      <c r="AO247" s="649">
        <f t="shared" si="166"/>
        <v>0</v>
      </c>
      <c r="AP247" s="650"/>
      <c r="AQ247" s="649">
        <f t="shared" si="167"/>
        <v>0</v>
      </c>
      <c r="AR247" s="650"/>
      <c r="AS247" s="651">
        <f t="shared" si="168"/>
        <v>0</v>
      </c>
      <c r="AT247" s="652"/>
      <c r="AU247" s="141">
        <f t="shared" si="181"/>
        <v>0</v>
      </c>
      <c r="AV247" s="141">
        <f t="shared" si="182"/>
        <v>0</v>
      </c>
      <c r="AW247" s="141">
        <f t="shared" si="183"/>
        <v>0</v>
      </c>
      <c r="AX247" s="141">
        <f t="shared" si="184"/>
        <v>0</v>
      </c>
      <c r="AY247" s="141">
        <f t="shared" si="185"/>
        <v>0</v>
      </c>
      <c r="AZ247" s="141">
        <f t="shared" si="186"/>
        <v>0</v>
      </c>
      <c r="BA247" s="141">
        <f t="shared" si="187"/>
        <v>0</v>
      </c>
      <c r="BB247" s="141">
        <f t="shared" si="188"/>
        <v>0</v>
      </c>
      <c r="BC247" s="141">
        <f t="shared" si="189"/>
        <v>0</v>
      </c>
      <c r="BD247" s="141">
        <f t="shared" si="190"/>
        <v>0</v>
      </c>
      <c r="BE247" s="141">
        <f t="shared" si="191"/>
        <v>0</v>
      </c>
      <c r="BF247" s="141">
        <f t="shared" si="192"/>
        <v>0</v>
      </c>
      <c r="BG247" s="141">
        <f t="shared" si="169"/>
        <v>0</v>
      </c>
      <c r="BH247" s="141">
        <f t="shared" si="170"/>
        <v>0</v>
      </c>
      <c r="BI247" s="141">
        <f t="shared" si="193"/>
        <v>0</v>
      </c>
      <c r="BJ247" s="147">
        <f t="shared" si="171"/>
        <v>0</v>
      </c>
      <c r="BK247" s="141">
        <f t="shared" si="172"/>
        <v>0</v>
      </c>
      <c r="BL247" s="141">
        <f t="shared" si="173"/>
        <v>0</v>
      </c>
      <c r="BM247" s="141">
        <f t="shared" si="174"/>
        <v>0</v>
      </c>
      <c r="BN247" s="141">
        <f t="shared" si="175"/>
        <v>0</v>
      </c>
      <c r="BO247" s="141">
        <f t="shared" si="176"/>
        <v>0</v>
      </c>
      <c r="BP247" s="141">
        <f t="shared" si="177"/>
        <v>0</v>
      </c>
      <c r="BT247" s="177"/>
      <c r="BU247" s="173"/>
      <c r="BV247" s="174"/>
      <c r="BW247" s="117"/>
      <c r="BX247" s="180"/>
      <c r="BY247" s="117"/>
      <c r="BZ247" s="181"/>
      <c r="CA247" s="182"/>
      <c r="CB247" s="176"/>
      <c r="CC247" s="176"/>
      <c r="CF247" s="170"/>
      <c r="CG247" s="171"/>
      <c r="CH247" s="170"/>
      <c r="CI247" s="171"/>
    </row>
    <row r="248" spans="2:87" s="108" customFormat="1" ht="15" hidden="1" customHeight="1">
      <c r="B248" s="109"/>
      <c r="C248" s="141" t="e">
        <f t="shared" si="152"/>
        <v>#NUM!</v>
      </c>
      <c r="D248" s="141">
        <f t="shared" si="154"/>
        <v>0</v>
      </c>
      <c r="E248" s="141"/>
      <c r="F248" s="142">
        <f t="shared" si="178"/>
        <v>0</v>
      </c>
      <c r="G248" s="143" t="s">
        <v>146</v>
      </c>
      <c r="H248" s="80">
        <f t="shared" si="155"/>
        <v>0</v>
      </c>
      <c r="I248" s="80" t="str">
        <f t="shared" si="179"/>
        <v/>
      </c>
      <c r="J248" s="144"/>
      <c r="K248" s="144"/>
      <c r="L248" s="144"/>
      <c r="M248" s="76"/>
      <c r="N248" s="77"/>
      <c r="O248" s="145"/>
      <c r="P248" s="77">
        <f t="shared" si="180"/>
        <v>0</v>
      </c>
      <c r="Q248" s="78"/>
      <c r="R248" s="79"/>
      <c r="S248" s="146">
        <f t="shared" si="153"/>
        <v>0</v>
      </c>
      <c r="T248" s="141" t="b">
        <f t="shared" si="194"/>
        <v>0</v>
      </c>
      <c r="U248" s="649">
        <f t="shared" si="156"/>
        <v>0</v>
      </c>
      <c r="V248" s="650"/>
      <c r="W248" s="649">
        <f t="shared" si="157"/>
        <v>0</v>
      </c>
      <c r="X248" s="650"/>
      <c r="Y248" s="649">
        <f t="shared" si="158"/>
        <v>0</v>
      </c>
      <c r="Z248" s="650"/>
      <c r="AA248" s="649">
        <f t="shared" si="159"/>
        <v>0</v>
      </c>
      <c r="AB248" s="650"/>
      <c r="AC248" s="649">
        <f t="shared" si="160"/>
        <v>0</v>
      </c>
      <c r="AD248" s="650"/>
      <c r="AE248" s="649">
        <f t="shared" si="161"/>
        <v>0</v>
      </c>
      <c r="AF248" s="650"/>
      <c r="AG248" s="649">
        <f t="shared" si="162"/>
        <v>0</v>
      </c>
      <c r="AH248" s="650"/>
      <c r="AI248" s="649">
        <f t="shared" si="163"/>
        <v>0</v>
      </c>
      <c r="AJ248" s="650"/>
      <c r="AK248" s="649">
        <f t="shared" si="164"/>
        <v>0</v>
      </c>
      <c r="AL248" s="650"/>
      <c r="AM248" s="649">
        <f t="shared" si="165"/>
        <v>0</v>
      </c>
      <c r="AN248" s="650"/>
      <c r="AO248" s="649">
        <f t="shared" si="166"/>
        <v>0</v>
      </c>
      <c r="AP248" s="650"/>
      <c r="AQ248" s="649">
        <f t="shared" si="167"/>
        <v>0</v>
      </c>
      <c r="AR248" s="650"/>
      <c r="AS248" s="651">
        <f t="shared" si="168"/>
        <v>0</v>
      </c>
      <c r="AT248" s="652"/>
      <c r="AU248" s="141">
        <f t="shared" si="181"/>
        <v>0</v>
      </c>
      <c r="AV248" s="141">
        <f t="shared" si="182"/>
        <v>0</v>
      </c>
      <c r="AW248" s="141">
        <f t="shared" si="183"/>
        <v>0</v>
      </c>
      <c r="AX248" s="141">
        <f t="shared" si="184"/>
        <v>0</v>
      </c>
      <c r="AY248" s="141">
        <f t="shared" si="185"/>
        <v>0</v>
      </c>
      <c r="AZ248" s="141">
        <f t="shared" si="186"/>
        <v>0</v>
      </c>
      <c r="BA248" s="141">
        <f t="shared" si="187"/>
        <v>0</v>
      </c>
      <c r="BB248" s="141">
        <f t="shared" si="188"/>
        <v>0</v>
      </c>
      <c r="BC248" s="141">
        <f t="shared" si="189"/>
        <v>0</v>
      </c>
      <c r="BD248" s="141">
        <f t="shared" si="190"/>
        <v>0</v>
      </c>
      <c r="BE248" s="141">
        <f t="shared" si="191"/>
        <v>0</v>
      </c>
      <c r="BF248" s="141">
        <f t="shared" si="192"/>
        <v>0</v>
      </c>
      <c r="BG248" s="141">
        <f t="shared" si="169"/>
        <v>0</v>
      </c>
      <c r="BH248" s="141">
        <f t="shared" si="170"/>
        <v>0</v>
      </c>
      <c r="BI248" s="141">
        <f t="shared" si="193"/>
        <v>0</v>
      </c>
      <c r="BJ248" s="147">
        <f t="shared" si="171"/>
        <v>0</v>
      </c>
      <c r="BK248" s="141">
        <f t="shared" si="172"/>
        <v>0</v>
      </c>
      <c r="BL248" s="141">
        <f t="shared" si="173"/>
        <v>0</v>
      </c>
      <c r="BM248" s="141">
        <f t="shared" si="174"/>
        <v>0</v>
      </c>
      <c r="BN248" s="141">
        <f t="shared" si="175"/>
        <v>0</v>
      </c>
      <c r="BO248" s="141">
        <f t="shared" si="176"/>
        <v>0</v>
      </c>
      <c r="BP248" s="141">
        <f t="shared" si="177"/>
        <v>0</v>
      </c>
      <c r="BT248" s="177"/>
      <c r="BU248" s="173"/>
      <c r="BV248" s="174"/>
      <c r="BW248" s="117"/>
      <c r="BX248" s="180"/>
      <c r="BY248" s="117"/>
      <c r="BZ248" s="181"/>
      <c r="CA248" s="182"/>
      <c r="CB248" s="176"/>
      <c r="CC248" s="176"/>
      <c r="CF248" s="170"/>
      <c r="CG248" s="171"/>
      <c r="CH248" s="170"/>
      <c r="CI248" s="171"/>
    </row>
    <row r="249" spans="2:87" s="108" customFormat="1" ht="15" hidden="1" customHeight="1">
      <c r="B249" s="109"/>
      <c r="C249" s="141" t="e">
        <f t="shared" si="152"/>
        <v>#NUM!</v>
      </c>
      <c r="D249" s="141">
        <f t="shared" si="154"/>
        <v>0</v>
      </c>
      <c r="E249" s="141" t="str">
        <f>IFERROR(DGET($BV$30:$CC$82,F249,G248:G249),"")</f>
        <v/>
      </c>
      <c r="F249" s="142">
        <f t="shared" si="178"/>
        <v>0</v>
      </c>
      <c r="G249" s="142" t="b">
        <f>IF(Q249&gt;0,IF(AND(S249&gt;0,S249&lt;2),CONCATENATE(Q249," ","0-2"),IF(AND(S249&gt;=2,S249&lt;8),CONCATENATE(Q249," ","2-8"),)))</f>
        <v>0</v>
      </c>
      <c r="H249" s="80">
        <f t="shared" si="155"/>
        <v>0</v>
      </c>
      <c r="I249" s="80" t="str">
        <f t="shared" si="179"/>
        <v/>
      </c>
      <c r="J249" s="76"/>
      <c r="K249" s="76"/>
      <c r="L249" s="76"/>
      <c r="M249" s="80"/>
      <c r="N249" s="79"/>
      <c r="O249" s="148"/>
      <c r="P249" s="77">
        <f t="shared" si="180"/>
        <v>0</v>
      </c>
      <c r="Q249" s="81"/>
      <c r="R249" s="77"/>
      <c r="S249" s="146">
        <f t="shared" si="153"/>
        <v>0</v>
      </c>
      <c r="T249" s="141" t="b">
        <f t="shared" si="194"/>
        <v>0</v>
      </c>
      <c r="U249" s="649">
        <f t="shared" si="156"/>
        <v>0</v>
      </c>
      <c r="V249" s="650"/>
      <c r="W249" s="649">
        <f t="shared" si="157"/>
        <v>0</v>
      </c>
      <c r="X249" s="650"/>
      <c r="Y249" s="649">
        <f t="shared" si="158"/>
        <v>0</v>
      </c>
      <c r="Z249" s="650"/>
      <c r="AA249" s="649">
        <f t="shared" si="159"/>
        <v>0</v>
      </c>
      <c r="AB249" s="650"/>
      <c r="AC249" s="649">
        <f t="shared" si="160"/>
        <v>0</v>
      </c>
      <c r="AD249" s="650"/>
      <c r="AE249" s="649">
        <f t="shared" si="161"/>
        <v>0</v>
      </c>
      <c r="AF249" s="650"/>
      <c r="AG249" s="649">
        <f t="shared" si="162"/>
        <v>0</v>
      </c>
      <c r="AH249" s="650"/>
      <c r="AI249" s="649">
        <f t="shared" si="163"/>
        <v>0</v>
      </c>
      <c r="AJ249" s="650"/>
      <c r="AK249" s="649">
        <f t="shared" si="164"/>
        <v>0</v>
      </c>
      <c r="AL249" s="650"/>
      <c r="AM249" s="649">
        <f t="shared" si="165"/>
        <v>0</v>
      </c>
      <c r="AN249" s="650"/>
      <c r="AO249" s="649">
        <f t="shared" si="166"/>
        <v>0</v>
      </c>
      <c r="AP249" s="650"/>
      <c r="AQ249" s="649">
        <f t="shared" si="167"/>
        <v>0</v>
      </c>
      <c r="AR249" s="650"/>
      <c r="AS249" s="651">
        <f t="shared" si="168"/>
        <v>0</v>
      </c>
      <c r="AT249" s="652"/>
      <c r="AU249" s="141">
        <f t="shared" si="181"/>
        <v>0</v>
      </c>
      <c r="AV249" s="141">
        <f t="shared" si="182"/>
        <v>0</v>
      </c>
      <c r="AW249" s="141">
        <f t="shared" si="183"/>
        <v>0</v>
      </c>
      <c r="AX249" s="141">
        <f t="shared" si="184"/>
        <v>0</v>
      </c>
      <c r="AY249" s="141">
        <f t="shared" si="185"/>
        <v>0</v>
      </c>
      <c r="AZ249" s="141">
        <f t="shared" si="186"/>
        <v>0</v>
      </c>
      <c r="BA249" s="141">
        <f t="shared" si="187"/>
        <v>0</v>
      </c>
      <c r="BB249" s="141">
        <f t="shared" si="188"/>
        <v>0</v>
      </c>
      <c r="BC249" s="141">
        <f t="shared" si="189"/>
        <v>0</v>
      </c>
      <c r="BD249" s="141">
        <f t="shared" si="190"/>
        <v>0</v>
      </c>
      <c r="BE249" s="141">
        <f t="shared" si="191"/>
        <v>0</v>
      </c>
      <c r="BF249" s="141">
        <f t="shared" si="192"/>
        <v>0</v>
      </c>
      <c r="BG249" s="141">
        <f t="shared" si="169"/>
        <v>0</v>
      </c>
      <c r="BH249" s="141">
        <f t="shared" si="170"/>
        <v>0</v>
      </c>
      <c r="BI249" s="141">
        <f t="shared" si="193"/>
        <v>0</v>
      </c>
      <c r="BJ249" s="147">
        <f t="shared" si="171"/>
        <v>0</v>
      </c>
      <c r="BK249" s="141">
        <f t="shared" si="172"/>
        <v>0</v>
      </c>
      <c r="BL249" s="141">
        <f t="shared" si="173"/>
        <v>0</v>
      </c>
      <c r="BM249" s="141">
        <f t="shared" si="174"/>
        <v>0</v>
      </c>
      <c r="BN249" s="141">
        <f t="shared" si="175"/>
        <v>0</v>
      </c>
      <c r="BO249" s="141">
        <f t="shared" si="176"/>
        <v>0</v>
      </c>
      <c r="BP249" s="141">
        <f t="shared" si="177"/>
        <v>0</v>
      </c>
      <c r="BT249" s="177"/>
      <c r="BU249" s="173"/>
      <c r="BV249" s="174"/>
      <c r="BW249" s="117"/>
      <c r="BX249" s="180"/>
      <c r="BY249" s="117"/>
      <c r="BZ249" s="181"/>
      <c r="CA249" s="182"/>
      <c r="CB249" s="176"/>
      <c r="CC249" s="176"/>
      <c r="CF249" s="170"/>
      <c r="CG249" s="171"/>
      <c r="CH249" s="170"/>
      <c r="CI249" s="171"/>
    </row>
    <row r="250" spans="2:87" s="108" customFormat="1" ht="15" hidden="1" customHeight="1">
      <c r="B250" s="109"/>
      <c r="C250" s="141" t="e">
        <f t="shared" si="152"/>
        <v>#NUM!</v>
      </c>
      <c r="D250" s="141">
        <f t="shared" si="154"/>
        <v>0</v>
      </c>
      <c r="E250" s="141"/>
      <c r="F250" s="142">
        <f t="shared" si="178"/>
        <v>0</v>
      </c>
      <c r="G250" s="143" t="s">
        <v>146</v>
      </c>
      <c r="H250" s="80">
        <f t="shared" si="155"/>
        <v>0</v>
      </c>
      <c r="I250" s="80" t="str">
        <f t="shared" si="179"/>
        <v/>
      </c>
      <c r="J250" s="144"/>
      <c r="K250" s="144"/>
      <c r="L250" s="144"/>
      <c r="M250" s="76"/>
      <c r="N250" s="77"/>
      <c r="O250" s="145"/>
      <c r="P250" s="77">
        <f t="shared" si="180"/>
        <v>0</v>
      </c>
      <c r="Q250" s="78"/>
      <c r="R250" s="79"/>
      <c r="S250" s="146">
        <f t="shared" si="153"/>
        <v>0</v>
      </c>
      <c r="T250" s="141" t="b">
        <f t="shared" si="194"/>
        <v>0</v>
      </c>
      <c r="U250" s="649">
        <f t="shared" si="156"/>
        <v>0</v>
      </c>
      <c r="V250" s="650"/>
      <c r="W250" s="649">
        <f t="shared" si="157"/>
        <v>0</v>
      </c>
      <c r="X250" s="650"/>
      <c r="Y250" s="649">
        <f t="shared" si="158"/>
        <v>0</v>
      </c>
      <c r="Z250" s="650"/>
      <c r="AA250" s="649">
        <f t="shared" si="159"/>
        <v>0</v>
      </c>
      <c r="AB250" s="650"/>
      <c r="AC250" s="649">
        <f t="shared" si="160"/>
        <v>0</v>
      </c>
      <c r="AD250" s="650"/>
      <c r="AE250" s="649">
        <f t="shared" si="161"/>
        <v>0</v>
      </c>
      <c r="AF250" s="650"/>
      <c r="AG250" s="649">
        <f t="shared" si="162"/>
        <v>0</v>
      </c>
      <c r="AH250" s="650"/>
      <c r="AI250" s="649">
        <f t="shared" si="163"/>
        <v>0</v>
      </c>
      <c r="AJ250" s="650"/>
      <c r="AK250" s="649">
        <f t="shared" si="164"/>
        <v>0</v>
      </c>
      <c r="AL250" s="650"/>
      <c r="AM250" s="649">
        <f t="shared" si="165"/>
        <v>0</v>
      </c>
      <c r="AN250" s="650"/>
      <c r="AO250" s="649">
        <f t="shared" si="166"/>
        <v>0</v>
      </c>
      <c r="AP250" s="650"/>
      <c r="AQ250" s="649">
        <f t="shared" si="167"/>
        <v>0</v>
      </c>
      <c r="AR250" s="650"/>
      <c r="AS250" s="651">
        <f t="shared" si="168"/>
        <v>0</v>
      </c>
      <c r="AT250" s="652"/>
      <c r="AU250" s="141">
        <f t="shared" si="181"/>
        <v>0</v>
      </c>
      <c r="AV250" s="141">
        <f t="shared" si="182"/>
        <v>0</v>
      </c>
      <c r="AW250" s="141">
        <f t="shared" si="183"/>
        <v>0</v>
      </c>
      <c r="AX250" s="141">
        <f t="shared" si="184"/>
        <v>0</v>
      </c>
      <c r="AY250" s="141">
        <f t="shared" si="185"/>
        <v>0</v>
      </c>
      <c r="AZ250" s="141">
        <f t="shared" si="186"/>
        <v>0</v>
      </c>
      <c r="BA250" s="141">
        <f t="shared" si="187"/>
        <v>0</v>
      </c>
      <c r="BB250" s="141">
        <f t="shared" si="188"/>
        <v>0</v>
      </c>
      <c r="BC250" s="141">
        <f t="shared" si="189"/>
        <v>0</v>
      </c>
      <c r="BD250" s="141">
        <f t="shared" si="190"/>
        <v>0</v>
      </c>
      <c r="BE250" s="141">
        <f t="shared" si="191"/>
        <v>0</v>
      </c>
      <c r="BF250" s="141">
        <f t="shared" si="192"/>
        <v>0</v>
      </c>
      <c r="BG250" s="141">
        <f t="shared" si="169"/>
        <v>0</v>
      </c>
      <c r="BH250" s="141">
        <f t="shared" si="170"/>
        <v>0</v>
      </c>
      <c r="BI250" s="141">
        <f t="shared" si="193"/>
        <v>0</v>
      </c>
      <c r="BJ250" s="147">
        <f t="shared" si="171"/>
        <v>0</v>
      </c>
      <c r="BK250" s="141">
        <f t="shared" si="172"/>
        <v>0</v>
      </c>
      <c r="BL250" s="141">
        <f t="shared" si="173"/>
        <v>0</v>
      </c>
      <c r="BM250" s="141">
        <f t="shared" si="174"/>
        <v>0</v>
      </c>
      <c r="BN250" s="141">
        <f t="shared" si="175"/>
        <v>0</v>
      </c>
      <c r="BO250" s="141">
        <f t="shared" si="176"/>
        <v>0</v>
      </c>
      <c r="BP250" s="141">
        <f t="shared" si="177"/>
        <v>0</v>
      </c>
      <c r="BT250" s="177"/>
      <c r="BU250" s="173"/>
      <c r="BV250" s="174"/>
      <c r="BW250" s="117"/>
      <c r="BX250" s="180"/>
      <c r="BY250" s="117"/>
      <c r="BZ250" s="181"/>
      <c r="CA250" s="182"/>
      <c r="CB250" s="176"/>
      <c r="CC250" s="176"/>
      <c r="CF250" s="170"/>
      <c r="CG250" s="171"/>
      <c r="CH250" s="170"/>
      <c r="CI250" s="171"/>
    </row>
    <row r="251" spans="2:87" s="108" customFormat="1" ht="15" hidden="1" customHeight="1">
      <c r="B251" s="109"/>
      <c r="C251" s="141" t="e">
        <f t="shared" si="152"/>
        <v>#NUM!</v>
      </c>
      <c r="D251" s="141">
        <f t="shared" si="154"/>
        <v>0</v>
      </c>
      <c r="E251" s="141" t="str">
        <f>IFERROR(DGET($BV$30:$CC$82,F251,G250:G251),"")</f>
        <v/>
      </c>
      <c r="F251" s="142">
        <f t="shared" si="178"/>
        <v>0</v>
      </c>
      <c r="G251" s="142" t="b">
        <f>IF(Q251&gt;0,IF(AND(S251&gt;0,S251&lt;2),CONCATENATE(Q251," ","0-2"),IF(AND(S251&gt;=2,S251&lt;8),CONCATENATE(Q251," ","2-8"),)))</f>
        <v>0</v>
      </c>
      <c r="H251" s="80">
        <f t="shared" si="155"/>
        <v>0</v>
      </c>
      <c r="I251" s="80" t="str">
        <f t="shared" si="179"/>
        <v/>
      </c>
      <c r="J251" s="76"/>
      <c r="K251" s="76"/>
      <c r="L251" s="76"/>
      <c r="M251" s="80"/>
      <c r="N251" s="79"/>
      <c r="O251" s="148"/>
      <c r="P251" s="77">
        <f t="shared" si="180"/>
        <v>0</v>
      </c>
      <c r="Q251" s="81"/>
      <c r="R251" s="77"/>
      <c r="S251" s="146">
        <f t="shared" si="153"/>
        <v>0</v>
      </c>
      <c r="T251" s="141" t="b">
        <f t="shared" si="194"/>
        <v>0</v>
      </c>
      <c r="U251" s="649">
        <f t="shared" si="156"/>
        <v>0</v>
      </c>
      <c r="V251" s="650"/>
      <c r="W251" s="649">
        <f t="shared" si="157"/>
        <v>0</v>
      </c>
      <c r="X251" s="650"/>
      <c r="Y251" s="649">
        <f t="shared" si="158"/>
        <v>0</v>
      </c>
      <c r="Z251" s="650"/>
      <c r="AA251" s="649">
        <f t="shared" si="159"/>
        <v>0</v>
      </c>
      <c r="AB251" s="650"/>
      <c r="AC251" s="649">
        <f t="shared" si="160"/>
        <v>0</v>
      </c>
      <c r="AD251" s="650"/>
      <c r="AE251" s="649">
        <f t="shared" si="161"/>
        <v>0</v>
      </c>
      <c r="AF251" s="650"/>
      <c r="AG251" s="649">
        <f t="shared" si="162"/>
        <v>0</v>
      </c>
      <c r="AH251" s="650"/>
      <c r="AI251" s="649">
        <f t="shared" si="163"/>
        <v>0</v>
      </c>
      <c r="AJ251" s="650"/>
      <c r="AK251" s="649">
        <f t="shared" si="164"/>
        <v>0</v>
      </c>
      <c r="AL251" s="650"/>
      <c r="AM251" s="649">
        <f t="shared" si="165"/>
        <v>0</v>
      </c>
      <c r="AN251" s="650"/>
      <c r="AO251" s="649">
        <f t="shared" si="166"/>
        <v>0</v>
      </c>
      <c r="AP251" s="650"/>
      <c r="AQ251" s="649">
        <f t="shared" si="167"/>
        <v>0</v>
      </c>
      <c r="AR251" s="650"/>
      <c r="AS251" s="651">
        <f t="shared" si="168"/>
        <v>0</v>
      </c>
      <c r="AT251" s="652"/>
      <c r="AU251" s="141">
        <f t="shared" si="181"/>
        <v>0</v>
      </c>
      <c r="AV251" s="141">
        <f t="shared" si="182"/>
        <v>0</v>
      </c>
      <c r="AW251" s="141">
        <f t="shared" si="183"/>
        <v>0</v>
      </c>
      <c r="AX251" s="141">
        <f t="shared" si="184"/>
        <v>0</v>
      </c>
      <c r="AY251" s="141">
        <f t="shared" si="185"/>
        <v>0</v>
      </c>
      <c r="AZ251" s="141">
        <f t="shared" si="186"/>
        <v>0</v>
      </c>
      <c r="BA251" s="141">
        <f t="shared" si="187"/>
        <v>0</v>
      </c>
      <c r="BB251" s="141">
        <f t="shared" si="188"/>
        <v>0</v>
      </c>
      <c r="BC251" s="141">
        <f t="shared" si="189"/>
        <v>0</v>
      </c>
      <c r="BD251" s="141">
        <f t="shared" si="190"/>
        <v>0</v>
      </c>
      <c r="BE251" s="141">
        <f t="shared" si="191"/>
        <v>0</v>
      </c>
      <c r="BF251" s="141">
        <f t="shared" si="192"/>
        <v>0</v>
      </c>
      <c r="BG251" s="141">
        <f t="shared" si="169"/>
        <v>0</v>
      </c>
      <c r="BH251" s="141">
        <f t="shared" si="170"/>
        <v>0</v>
      </c>
      <c r="BI251" s="141">
        <f t="shared" si="193"/>
        <v>0</v>
      </c>
      <c r="BJ251" s="147">
        <f t="shared" si="171"/>
        <v>0</v>
      </c>
      <c r="BK251" s="141">
        <f t="shared" si="172"/>
        <v>0</v>
      </c>
      <c r="BL251" s="141">
        <f t="shared" si="173"/>
        <v>0</v>
      </c>
      <c r="BM251" s="141">
        <f t="shared" si="174"/>
        <v>0</v>
      </c>
      <c r="BN251" s="141">
        <f t="shared" si="175"/>
        <v>0</v>
      </c>
      <c r="BO251" s="141">
        <f t="shared" si="176"/>
        <v>0</v>
      </c>
      <c r="BP251" s="141">
        <f t="shared" si="177"/>
        <v>0</v>
      </c>
      <c r="BT251" s="177"/>
      <c r="BU251" s="173"/>
      <c r="BV251" s="174"/>
      <c r="BW251" s="117"/>
      <c r="BX251" s="180"/>
      <c r="BY251" s="117"/>
      <c r="BZ251" s="181"/>
      <c r="CA251" s="182"/>
      <c r="CB251" s="176"/>
      <c r="CC251" s="176"/>
      <c r="CF251" s="170"/>
      <c r="CG251" s="171"/>
      <c r="CH251" s="170"/>
      <c r="CI251" s="171"/>
    </row>
    <row r="252" spans="2:87" s="108" customFormat="1" ht="15" hidden="1" customHeight="1">
      <c r="B252" s="109"/>
      <c r="C252" s="141" t="e">
        <f t="shared" si="152"/>
        <v>#NUM!</v>
      </c>
      <c r="D252" s="141">
        <f t="shared" si="154"/>
        <v>0</v>
      </c>
      <c r="E252" s="141"/>
      <c r="F252" s="142">
        <f t="shared" si="178"/>
        <v>0</v>
      </c>
      <c r="G252" s="143" t="s">
        <v>146</v>
      </c>
      <c r="H252" s="80">
        <f t="shared" si="155"/>
        <v>0</v>
      </c>
      <c r="I252" s="80" t="str">
        <f t="shared" si="179"/>
        <v/>
      </c>
      <c r="J252" s="144"/>
      <c r="K252" s="144"/>
      <c r="L252" s="144"/>
      <c r="M252" s="76"/>
      <c r="N252" s="77"/>
      <c r="O252" s="145"/>
      <c r="P252" s="77">
        <f t="shared" si="180"/>
        <v>0</v>
      </c>
      <c r="Q252" s="78"/>
      <c r="R252" s="79"/>
      <c r="S252" s="146">
        <f t="shared" si="153"/>
        <v>0</v>
      </c>
      <c r="T252" s="141" t="b">
        <f t="shared" si="194"/>
        <v>0</v>
      </c>
      <c r="U252" s="649">
        <f t="shared" si="156"/>
        <v>0</v>
      </c>
      <c r="V252" s="650"/>
      <c r="W252" s="649">
        <f t="shared" si="157"/>
        <v>0</v>
      </c>
      <c r="X252" s="650"/>
      <c r="Y252" s="649">
        <f t="shared" si="158"/>
        <v>0</v>
      </c>
      <c r="Z252" s="650"/>
      <c r="AA252" s="649">
        <f t="shared" si="159"/>
        <v>0</v>
      </c>
      <c r="AB252" s="650"/>
      <c r="AC252" s="649">
        <f t="shared" si="160"/>
        <v>0</v>
      </c>
      <c r="AD252" s="650"/>
      <c r="AE252" s="649">
        <f t="shared" si="161"/>
        <v>0</v>
      </c>
      <c r="AF252" s="650"/>
      <c r="AG252" s="649">
        <f t="shared" si="162"/>
        <v>0</v>
      </c>
      <c r="AH252" s="650"/>
      <c r="AI252" s="649">
        <f t="shared" si="163"/>
        <v>0</v>
      </c>
      <c r="AJ252" s="650"/>
      <c r="AK252" s="649">
        <f t="shared" si="164"/>
        <v>0</v>
      </c>
      <c r="AL252" s="650"/>
      <c r="AM252" s="649">
        <f t="shared" si="165"/>
        <v>0</v>
      </c>
      <c r="AN252" s="650"/>
      <c r="AO252" s="649">
        <f t="shared" si="166"/>
        <v>0</v>
      </c>
      <c r="AP252" s="650"/>
      <c r="AQ252" s="649">
        <f t="shared" si="167"/>
        <v>0</v>
      </c>
      <c r="AR252" s="650"/>
      <c r="AS252" s="651">
        <f t="shared" si="168"/>
        <v>0</v>
      </c>
      <c r="AT252" s="652"/>
      <c r="AU252" s="141">
        <f t="shared" si="181"/>
        <v>0</v>
      </c>
      <c r="AV252" s="141">
        <f t="shared" si="182"/>
        <v>0</v>
      </c>
      <c r="AW252" s="141">
        <f t="shared" si="183"/>
        <v>0</v>
      </c>
      <c r="AX252" s="141">
        <f t="shared" si="184"/>
        <v>0</v>
      </c>
      <c r="AY252" s="141">
        <f t="shared" si="185"/>
        <v>0</v>
      </c>
      <c r="AZ252" s="141">
        <f t="shared" si="186"/>
        <v>0</v>
      </c>
      <c r="BA252" s="141">
        <f t="shared" si="187"/>
        <v>0</v>
      </c>
      <c r="BB252" s="141">
        <f t="shared" si="188"/>
        <v>0</v>
      </c>
      <c r="BC252" s="141">
        <f t="shared" si="189"/>
        <v>0</v>
      </c>
      <c r="BD252" s="141">
        <f t="shared" si="190"/>
        <v>0</v>
      </c>
      <c r="BE252" s="141">
        <f t="shared" si="191"/>
        <v>0</v>
      </c>
      <c r="BF252" s="141">
        <f t="shared" si="192"/>
        <v>0</v>
      </c>
      <c r="BG252" s="141">
        <f t="shared" si="169"/>
        <v>0</v>
      </c>
      <c r="BH252" s="141">
        <f t="shared" si="170"/>
        <v>0</v>
      </c>
      <c r="BI252" s="141">
        <f t="shared" si="193"/>
        <v>0</v>
      </c>
      <c r="BJ252" s="147">
        <f t="shared" si="171"/>
        <v>0</v>
      </c>
      <c r="BK252" s="141">
        <f t="shared" si="172"/>
        <v>0</v>
      </c>
      <c r="BL252" s="141">
        <f t="shared" si="173"/>
        <v>0</v>
      </c>
      <c r="BM252" s="141">
        <f t="shared" si="174"/>
        <v>0</v>
      </c>
      <c r="BN252" s="141">
        <f t="shared" si="175"/>
        <v>0</v>
      </c>
      <c r="BO252" s="141">
        <f t="shared" si="176"/>
        <v>0</v>
      </c>
      <c r="BP252" s="141">
        <f t="shared" si="177"/>
        <v>0</v>
      </c>
      <c r="BT252" s="177"/>
      <c r="BU252" s="173"/>
      <c r="BV252" s="174"/>
      <c r="BW252" s="117"/>
      <c r="BX252" s="180"/>
      <c r="BY252" s="117"/>
      <c r="BZ252" s="181"/>
      <c r="CA252" s="182"/>
      <c r="CB252" s="176"/>
      <c r="CC252" s="176"/>
      <c r="CF252" s="170"/>
      <c r="CG252" s="171"/>
      <c r="CH252" s="170"/>
      <c r="CI252" s="171"/>
    </row>
    <row r="253" spans="2:87" s="108" customFormat="1" ht="15" hidden="1" customHeight="1">
      <c r="B253" s="109"/>
      <c r="C253" s="141" t="e">
        <f t="shared" si="152"/>
        <v>#NUM!</v>
      </c>
      <c r="D253" s="141">
        <f t="shared" si="154"/>
        <v>0</v>
      </c>
      <c r="E253" s="141" t="str">
        <f>IFERROR(DGET($BV$30:$CC$82,F253,G252:G253),"")</f>
        <v/>
      </c>
      <c r="F253" s="142">
        <f t="shared" si="178"/>
        <v>0</v>
      </c>
      <c r="G253" s="142" t="b">
        <f>IF(Q253&gt;0,IF(AND(S253&gt;0,S253&lt;2),CONCATENATE(Q253," ","0-2"),IF(AND(S253&gt;=2,S253&lt;8),CONCATENATE(Q253," ","2-8"),)))</f>
        <v>0</v>
      </c>
      <c r="H253" s="80">
        <f t="shared" si="155"/>
        <v>0</v>
      </c>
      <c r="I253" s="80" t="str">
        <f t="shared" si="179"/>
        <v/>
      </c>
      <c r="J253" s="76"/>
      <c r="K253" s="76"/>
      <c r="L253" s="76"/>
      <c r="M253" s="80"/>
      <c r="N253" s="79"/>
      <c r="O253" s="148"/>
      <c r="P253" s="77">
        <f t="shared" si="180"/>
        <v>0</v>
      </c>
      <c r="Q253" s="81"/>
      <c r="R253" s="77"/>
      <c r="S253" s="146">
        <f t="shared" si="153"/>
        <v>0</v>
      </c>
      <c r="T253" s="141" t="b">
        <f t="shared" si="194"/>
        <v>0</v>
      </c>
      <c r="U253" s="649">
        <f t="shared" si="156"/>
        <v>0</v>
      </c>
      <c r="V253" s="650"/>
      <c r="W253" s="649">
        <f t="shared" si="157"/>
        <v>0</v>
      </c>
      <c r="X253" s="650"/>
      <c r="Y253" s="649">
        <f t="shared" si="158"/>
        <v>0</v>
      </c>
      <c r="Z253" s="650"/>
      <c r="AA253" s="649">
        <f t="shared" si="159"/>
        <v>0</v>
      </c>
      <c r="AB253" s="650"/>
      <c r="AC253" s="649">
        <f t="shared" si="160"/>
        <v>0</v>
      </c>
      <c r="AD253" s="650"/>
      <c r="AE253" s="649">
        <f t="shared" si="161"/>
        <v>0</v>
      </c>
      <c r="AF253" s="650"/>
      <c r="AG253" s="649">
        <f t="shared" si="162"/>
        <v>0</v>
      </c>
      <c r="AH253" s="650"/>
      <c r="AI253" s="649">
        <f t="shared" si="163"/>
        <v>0</v>
      </c>
      <c r="AJ253" s="650"/>
      <c r="AK253" s="649">
        <f t="shared" si="164"/>
        <v>0</v>
      </c>
      <c r="AL253" s="650"/>
      <c r="AM253" s="649">
        <f t="shared" si="165"/>
        <v>0</v>
      </c>
      <c r="AN253" s="650"/>
      <c r="AO253" s="649">
        <f t="shared" si="166"/>
        <v>0</v>
      </c>
      <c r="AP253" s="650"/>
      <c r="AQ253" s="649">
        <f t="shared" si="167"/>
        <v>0</v>
      </c>
      <c r="AR253" s="650"/>
      <c r="AS253" s="651">
        <f t="shared" si="168"/>
        <v>0</v>
      </c>
      <c r="AT253" s="652"/>
      <c r="AU253" s="141">
        <f t="shared" si="181"/>
        <v>0</v>
      </c>
      <c r="AV253" s="141">
        <f t="shared" si="182"/>
        <v>0</v>
      </c>
      <c r="AW253" s="141">
        <f t="shared" si="183"/>
        <v>0</v>
      </c>
      <c r="AX253" s="141">
        <f t="shared" si="184"/>
        <v>0</v>
      </c>
      <c r="AY253" s="141">
        <f t="shared" si="185"/>
        <v>0</v>
      </c>
      <c r="AZ253" s="141">
        <f t="shared" si="186"/>
        <v>0</v>
      </c>
      <c r="BA253" s="141">
        <f t="shared" si="187"/>
        <v>0</v>
      </c>
      <c r="BB253" s="141">
        <f t="shared" si="188"/>
        <v>0</v>
      </c>
      <c r="BC253" s="141">
        <f t="shared" si="189"/>
        <v>0</v>
      </c>
      <c r="BD253" s="141">
        <f t="shared" si="190"/>
        <v>0</v>
      </c>
      <c r="BE253" s="141">
        <f t="shared" si="191"/>
        <v>0</v>
      </c>
      <c r="BF253" s="141">
        <f t="shared" si="192"/>
        <v>0</v>
      </c>
      <c r="BG253" s="141">
        <f t="shared" si="169"/>
        <v>0</v>
      </c>
      <c r="BH253" s="141">
        <f t="shared" si="170"/>
        <v>0</v>
      </c>
      <c r="BI253" s="141">
        <f t="shared" si="193"/>
        <v>0</v>
      </c>
      <c r="BJ253" s="147">
        <f t="shared" si="171"/>
        <v>0</v>
      </c>
      <c r="BK253" s="141">
        <f t="shared" si="172"/>
        <v>0</v>
      </c>
      <c r="BL253" s="141">
        <f t="shared" si="173"/>
        <v>0</v>
      </c>
      <c r="BM253" s="141">
        <f t="shared" si="174"/>
        <v>0</v>
      </c>
      <c r="BN253" s="141">
        <f t="shared" si="175"/>
        <v>0</v>
      </c>
      <c r="BO253" s="141">
        <f t="shared" si="176"/>
        <v>0</v>
      </c>
      <c r="BP253" s="141">
        <f t="shared" si="177"/>
        <v>0</v>
      </c>
      <c r="BT253" s="177"/>
      <c r="BU253" s="173"/>
      <c r="BV253" s="174"/>
      <c r="BW253" s="117"/>
      <c r="BX253" s="180"/>
      <c r="BY253" s="117"/>
      <c r="BZ253" s="181"/>
      <c r="CA253" s="182"/>
      <c r="CB253" s="176"/>
      <c r="CC253" s="176"/>
      <c r="CF253" s="170"/>
      <c r="CG253" s="171"/>
      <c r="CH253" s="170"/>
      <c r="CI253" s="171"/>
    </row>
    <row r="254" spans="2:87" s="108" customFormat="1" ht="15" hidden="1" customHeight="1">
      <c r="B254" s="109"/>
      <c r="C254" s="141" t="e">
        <f t="shared" si="152"/>
        <v>#NUM!</v>
      </c>
      <c r="D254" s="141">
        <f t="shared" si="154"/>
        <v>0</v>
      </c>
      <c r="E254" s="141"/>
      <c r="F254" s="142">
        <f t="shared" si="178"/>
        <v>0</v>
      </c>
      <c r="G254" s="143" t="s">
        <v>146</v>
      </c>
      <c r="H254" s="80">
        <f t="shared" si="155"/>
        <v>0</v>
      </c>
      <c r="I254" s="80" t="str">
        <f t="shared" si="179"/>
        <v/>
      </c>
      <c r="J254" s="144"/>
      <c r="K254" s="144"/>
      <c r="L254" s="144"/>
      <c r="M254" s="76"/>
      <c r="N254" s="77"/>
      <c r="O254" s="145"/>
      <c r="P254" s="77">
        <f t="shared" si="180"/>
        <v>0</v>
      </c>
      <c r="Q254" s="78"/>
      <c r="R254" s="79"/>
      <c r="S254" s="146">
        <f t="shared" si="153"/>
        <v>0</v>
      </c>
      <c r="T254" s="141" t="b">
        <f t="shared" si="194"/>
        <v>0</v>
      </c>
      <c r="U254" s="649">
        <f t="shared" si="156"/>
        <v>0</v>
      </c>
      <c r="V254" s="650"/>
      <c r="W254" s="649">
        <f t="shared" si="157"/>
        <v>0</v>
      </c>
      <c r="X254" s="650"/>
      <c r="Y254" s="649">
        <f t="shared" si="158"/>
        <v>0</v>
      </c>
      <c r="Z254" s="650"/>
      <c r="AA254" s="649">
        <f t="shared" si="159"/>
        <v>0</v>
      </c>
      <c r="AB254" s="650"/>
      <c r="AC254" s="649">
        <f t="shared" si="160"/>
        <v>0</v>
      </c>
      <c r="AD254" s="650"/>
      <c r="AE254" s="649">
        <f t="shared" si="161"/>
        <v>0</v>
      </c>
      <c r="AF254" s="650"/>
      <c r="AG254" s="649">
        <f t="shared" si="162"/>
        <v>0</v>
      </c>
      <c r="AH254" s="650"/>
      <c r="AI254" s="649">
        <f t="shared" si="163"/>
        <v>0</v>
      </c>
      <c r="AJ254" s="650"/>
      <c r="AK254" s="649">
        <f t="shared" si="164"/>
        <v>0</v>
      </c>
      <c r="AL254" s="650"/>
      <c r="AM254" s="649">
        <f t="shared" si="165"/>
        <v>0</v>
      </c>
      <c r="AN254" s="650"/>
      <c r="AO254" s="649">
        <f t="shared" si="166"/>
        <v>0</v>
      </c>
      <c r="AP254" s="650"/>
      <c r="AQ254" s="649">
        <f t="shared" si="167"/>
        <v>0</v>
      </c>
      <c r="AR254" s="650"/>
      <c r="AS254" s="651">
        <f t="shared" si="168"/>
        <v>0</v>
      </c>
      <c r="AT254" s="652"/>
      <c r="AU254" s="141">
        <f t="shared" si="181"/>
        <v>0</v>
      </c>
      <c r="AV254" s="141">
        <f t="shared" si="182"/>
        <v>0</v>
      </c>
      <c r="AW254" s="141">
        <f t="shared" si="183"/>
        <v>0</v>
      </c>
      <c r="AX254" s="141">
        <f t="shared" si="184"/>
        <v>0</v>
      </c>
      <c r="AY254" s="141">
        <f t="shared" si="185"/>
        <v>0</v>
      </c>
      <c r="AZ254" s="141">
        <f t="shared" si="186"/>
        <v>0</v>
      </c>
      <c r="BA254" s="141">
        <f t="shared" si="187"/>
        <v>0</v>
      </c>
      <c r="BB254" s="141">
        <f t="shared" si="188"/>
        <v>0</v>
      </c>
      <c r="BC254" s="141">
        <f t="shared" si="189"/>
        <v>0</v>
      </c>
      <c r="BD254" s="141">
        <f t="shared" si="190"/>
        <v>0</v>
      </c>
      <c r="BE254" s="141">
        <f t="shared" si="191"/>
        <v>0</v>
      </c>
      <c r="BF254" s="141">
        <f t="shared" si="192"/>
        <v>0</v>
      </c>
      <c r="BG254" s="141">
        <f t="shared" si="169"/>
        <v>0</v>
      </c>
      <c r="BH254" s="141">
        <f t="shared" si="170"/>
        <v>0</v>
      </c>
      <c r="BI254" s="141">
        <f t="shared" si="193"/>
        <v>0</v>
      </c>
      <c r="BJ254" s="147">
        <f t="shared" si="171"/>
        <v>0</v>
      </c>
      <c r="BK254" s="141">
        <f t="shared" si="172"/>
        <v>0</v>
      </c>
      <c r="BL254" s="141">
        <f t="shared" si="173"/>
        <v>0</v>
      </c>
      <c r="BM254" s="141">
        <f t="shared" si="174"/>
        <v>0</v>
      </c>
      <c r="BN254" s="141">
        <f t="shared" si="175"/>
        <v>0</v>
      </c>
      <c r="BO254" s="141">
        <f t="shared" si="176"/>
        <v>0</v>
      </c>
      <c r="BP254" s="141">
        <f t="shared" si="177"/>
        <v>0</v>
      </c>
      <c r="BT254" s="177"/>
      <c r="BU254" s="173"/>
      <c r="BV254" s="174"/>
      <c r="BW254" s="117"/>
      <c r="BX254" s="180"/>
      <c r="BY254" s="117"/>
      <c r="BZ254" s="181"/>
      <c r="CA254" s="182"/>
      <c r="CB254" s="176"/>
      <c r="CC254" s="176"/>
      <c r="CF254" s="170"/>
      <c r="CG254" s="171"/>
      <c r="CH254" s="170"/>
      <c r="CI254" s="171"/>
    </row>
    <row r="255" spans="2:87" s="108" customFormat="1" ht="15" hidden="1" customHeight="1">
      <c r="B255" s="109"/>
      <c r="C255" s="141" t="e">
        <f t="shared" si="152"/>
        <v>#NUM!</v>
      </c>
      <c r="D255" s="141">
        <f t="shared" si="154"/>
        <v>0</v>
      </c>
      <c r="E255" s="141" t="str">
        <f>IFERROR(DGET($BV$30:$CC$82,F255,G254:G255),"")</f>
        <v/>
      </c>
      <c r="F255" s="142">
        <f t="shared" si="178"/>
        <v>0</v>
      </c>
      <c r="G255" s="142" t="b">
        <f>IF(Q255&gt;0,IF(AND(S255&gt;0,S255&lt;2),CONCATENATE(Q255," ","0-2"),IF(AND(S255&gt;=2,S255&lt;8),CONCATENATE(Q255," ","2-8"),)))</f>
        <v>0</v>
      </c>
      <c r="H255" s="80">
        <f t="shared" si="155"/>
        <v>0</v>
      </c>
      <c r="I255" s="80" t="str">
        <f t="shared" si="179"/>
        <v/>
      </c>
      <c r="J255" s="76"/>
      <c r="K255" s="76"/>
      <c r="L255" s="76"/>
      <c r="M255" s="80"/>
      <c r="N255" s="79"/>
      <c r="O255" s="148"/>
      <c r="P255" s="77">
        <f t="shared" si="180"/>
        <v>0</v>
      </c>
      <c r="Q255" s="81"/>
      <c r="R255" s="77"/>
      <c r="S255" s="146">
        <f t="shared" si="153"/>
        <v>0</v>
      </c>
      <c r="T255" s="141" t="b">
        <f t="shared" si="194"/>
        <v>0</v>
      </c>
      <c r="U255" s="649">
        <f t="shared" si="156"/>
        <v>0</v>
      </c>
      <c r="V255" s="650"/>
      <c r="W255" s="649">
        <f t="shared" si="157"/>
        <v>0</v>
      </c>
      <c r="X255" s="650"/>
      <c r="Y255" s="649">
        <f t="shared" si="158"/>
        <v>0</v>
      </c>
      <c r="Z255" s="650"/>
      <c r="AA255" s="649">
        <f t="shared" si="159"/>
        <v>0</v>
      </c>
      <c r="AB255" s="650"/>
      <c r="AC255" s="649">
        <f t="shared" si="160"/>
        <v>0</v>
      </c>
      <c r="AD255" s="650"/>
      <c r="AE255" s="649">
        <f t="shared" si="161"/>
        <v>0</v>
      </c>
      <c r="AF255" s="650"/>
      <c r="AG255" s="649">
        <f t="shared" si="162"/>
        <v>0</v>
      </c>
      <c r="AH255" s="650"/>
      <c r="AI255" s="649">
        <f t="shared" si="163"/>
        <v>0</v>
      </c>
      <c r="AJ255" s="650"/>
      <c r="AK255" s="649">
        <f t="shared" si="164"/>
        <v>0</v>
      </c>
      <c r="AL255" s="650"/>
      <c r="AM255" s="649">
        <f t="shared" si="165"/>
        <v>0</v>
      </c>
      <c r="AN255" s="650"/>
      <c r="AO255" s="649">
        <f t="shared" si="166"/>
        <v>0</v>
      </c>
      <c r="AP255" s="650"/>
      <c r="AQ255" s="649">
        <f t="shared" si="167"/>
        <v>0</v>
      </c>
      <c r="AR255" s="650"/>
      <c r="AS255" s="651">
        <f t="shared" si="168"/>
        <v>0</v>
      </c>
      <c r="AT255" s="652"/>
      <c r="AU255" s="141">
        <f t="shared" si="181"/>
        <v>0</v>
      </c>
      <c r="AV255" s="141">
        <f t="shared" si="182"/>
        <v>0</v>
      </c>
      <c r="AW255" s="141">
        <f t="shared" si="183"/>
        <v>0</v>
      </c>
      <c r="AX255" s="141">
        <f t="shared" si="184"/>
        <v>0</v>
      </c>
      <c r="AY255" s="141">
        <f t="shared" si="185"/>
        <v>0</v>
      </c>
      <c r="AZ255" s="141">
        <f t="shared" si="186"/>
        <v>0</v>
      </c>
      <c r="BA255" s="141">
        <f t="shared" si="187"/>
        <v>0</v>
      </c>
      <c r="BB255" s="141">
        <f t="shared" si="188"/>
        <v>0</v>
      </c>
      <c r="BC255" s="141">
        <f t="shared" si="189"/>
        <v>0</v>
      </c>
      <c r="BD255" s="141">
        <f t="shared" si="190"/>
        <v>0</v>
      </c>
      <c r="BE255" s="141">
        <f t="shared" si="191"/>
        <v>0</v>
      </c>
      <c r="BF255" s="141">
        <f t="shared" si="192"/>
        <v>0</v>
      </c>
      <c r="BG255" s="141">
        <f t="shared" si="169"/>
        <v>0</v>
      </c>
      <c r="BH255" s="141">
        <f t="shared" si="170"/>
        <v>0</v>
      </c>
      <c r="BI255" s="141">
        <f t="shared" si="193"/>
        <v>0</v>
      </c>
      <c r="BJ255" s="147">
        <f t="shared" si="171"/>
        <v>0</v>
      </c>
      <c r="BK255" s="141">
        <f t="shared" si="172"/>
        <v>0</v>
      </c>
      <c r="BL255" s="141">
        <f t="shared" si="173"/>
        <v>0</v>
      </c>
      <c r="BM255" s="141">
        <f t="shared" si="174"/>
        <v>0</v>
      </c>
      <c r="BN255" s="141">
        <f t="shared" si="175"/>
        <v>0</v>
      </c>
      <c r="BO255" s="141">
        <f t="shared" si="176"/>
        <v>0</v>
      </c>
      <c r="BP255" s="141">
        <f t="shared" si="177"/>
        <v>0</v>
      </c>
      <c r="BT255" s="177"/>
      <c r="BU255" s="173"/>
      <c r="BV255" s="174"/>
      <c r="BW255" s="117"/>
      <c r="BX255" s="180"/>
      <c r="BY255" s="117"/>
      <c r="BZ255" s="181"/>
      <c r="CA255" s="182"/>
      <c r="CB255" s="176"/>
      <c r="CC255" s="176"/>
      <c r="CF255" s="170"/>
      <c r="CG255" s="171"/>
      <c r="CH255" s="170"/>
      <c r="CI255" s="171"/>
    </row>
    <row r="256" spans="2:87" s="108" customFormat="1" ht="15" hidden="1" customHeight="1">
      <c r="B256" s="109"/>
      <c r="C256" s="141" t="e">
        <f t="shared" si="152"/>
        <v>#NUM!</v>
      </c>
      <c r="D256" s="141">
        <f t="shared" si="154"/>
        <v>0</v>
      </c>
      <c r="E256" s="141"/>
      <c r="F256" s="142">
        <f t="shared" si="178"/>
        <v>0</v>
      </c>
      <c r="G256" s="143" t="s">
        <v>146</v>
      </c>
      <c r="H256" s="80">
        <f t="shared" si="155"/>
        <v>0</v>
      </c>
      <c r="I256" s="80" t="str">
        <f t="shared" si="179"/>
        <v/>
      </c>
      <c r="J256" s="144"/>
      <c r="K256" s="144"/>
      <c r="L256" s="144"/>
      <c r="M256" s="76"/>
      <c r="N256" s="77"/>
      <c r="O256" s="145"/>
      <c r="P256" s="77">
        <f t="shared" si="180"/>
        <v>0</v>
      </c>
      <c r="Q256" s="78"/>
      <c r="R256" s="79"/>
      <c r="S256" s="146">
        <f t="shared" si="153"/>
        <v>0</v>
      </c>
      <c r="T256" s="141" t="b">
        <f t="shared" si="194"/>
        <v>0</v>
      </c>
      <c r="U256" s="649">
        <f t="shared" si="156"/>
        <v>0</v>
      </c>
      <c r="V256" s="650"/>
      <c r="W256" s="649">
        <f t="shared" si="157"/>
        <v>0</v>
      </c>
      <c r="X256" s="650"/>
      <c r="Y256" s="649">
        <f t="shared" si="158"/>
        <v>0</v>
      </c>
      <c r="Z256" s="650"/>
      <c r="AA256" s="649">
        <f t="shared" si="159"/>
        <v>0</v>
      </c>
      <c r="AB256" s="650"/>
      <c r="AC256" s="649">
        <f t="shared" si="160"/>
        <v>0</v>
      </c>
      <c r="AD256" s="650"/>
      <c r="AE256" s="649">
        <f t="shared" si="161"/>
        <v>0</v>
      </c>
      <c r="AF256" s="650"/>
      <c r="AG256" s="649">
        <f t="shared" si="162"/>
        <v>0</v>
      </c>
      <c r="AH256" s="650"/>
      <c r="AI256" s="649">
        <f t="shared" si="163"/>
        <v>0</v>
      </c>
      <c r="AJ256" s="650"/>
      <c r="AK256" s="649">
        <f t="shared" si="164"/>
        <v>0</v>
      </c>
      <c r="AL256" s="650"/>
      <c r="AM256" s="649">
        <f t="shared" si="165"/>
        <v>0</v>
      </c>
      <c r="AN256" s="650"/>
      <c r="AO256" s="649">
        <f t="shared" si="166"/>
        <v>0</v>
      </c>
      <c r="AP256" s="650"/>
      <c r="AQ256" s="649">
        <f t="shared" si="167"/>
        <v>0</v>
      </c>
      <c r="AR256" s="650"/>
      <c r="AS256" s="651">
        <f t="shared" si="168"/>
        <v>0</v>
      </c>
      <c r="AT256" s="652"/>
      <c r="AU256" s="141">
        <f t="shared" si="181"/>
        <v>0</v>
      </c>
      <c r="AV256" s="141">
        <f t="shared" si="182"/>
        <v>0</v>
      </c>
      <c r="AW256" s="141">
        <f t="shared" si="183"/>
        <v>0</v>
      </c>
      <c r="AX256" s="141">
        <f t="shared" si="184"/>
        <v>0</v>
      </c>
      <c r="AY256" s="141">
        <f t="shared" si="185"/>
        <v>0</v>
      </c>
      <c r="AZ256" s="141">
        <f t="shared" si="186"/>
        <v>0</v>
      </c>
      <c r="BA256" s="141">
        <f t="shared" si="187"/>
        <v>0</v>
      </c>
      <c r="BB256" s="141">
        <f t="shared" si="188"/>
        <v>0</v>
      </c>
      <c r="BC256" s="141">
        <f t="shared" si="189"/>
        <v>0</v>
      </c>
      <c r="BD256" s="141">
        <f t="shared" si="190"/>
        <v>0</v>
      </c>
      <c r="BE256" s="141">
        <f t="shared" si="191"/>
        <v>0</v>
      </c>
      <c r="BF256" s="141">
        <f t="shared" si="192"/>
        <v>0</v>
      </c>
      <c r="BG256" s="141">
        <f t="shared" si="169"/>
        <v>0</v>
      </c>
      <c r="BH256" s="141">
        <f t="shared" si="170"/>
        <v>0</v>
      </c>
      <c r="BI256" s="141">
        <f t="shared" si="193"/>
        <v>0</v>
      </c>
      <c r="BJ256" s="147">
        <f t="shared" si="171"/>
        <v>0</v>
      </c>
      <c r="BK256" s="141">
        <f t="shared" si="172"/>
        <v>0</v>
      </c>
      <c r="BL256" s="141">
        <f t="shared" si="173"/>
        <v>0</v>
      </c>
      <c r="BM256" s="141">
        <f t="shared" si="174"/>
        <v>0</v>
      </c>
      <c r="BN256" s="141">
        <f t="shared" si="175"/>
        <v>0</v>
      </c>
      <c r="BO256" s="141">
        <f t="shared" si="176"/>
        <v>0</v>
      </c>
      <c r="BP256" s="141">
        <f t="shared" si="177"/>
        <v>0</v>
      </c>
      <c r="BT256" s="177"/>
      <c r="BU256" s="173"/>
      <c r="BV256" s="174"/>
      <c r="BW256" s="117"/>
      <c r="BX256" s="180"/>
      <c r="BY256" s="117"/>
      <c r="BZ256" s="181"/>
      <c r="CA256" s="182"/>
      <c r="CB256" s="176"/>
      <c r="CC256" s="176"/>
      <c r="CF256" s="170"/>
      <c r="CG256" s="171"/>
      <c r="CH256" s="170"/>
      <c r="CI256" s="171"/>
    </row>
    <row r="257" spans="2:87" s="108" customFormat="1" ht="15" hidden="1" customHeight="1">
      <c r="B257" s="109"/>
      <c r="C257" s="141" t="e">
        <f t="shared" si="152"/>
        <v>#NUM!</v>
      </c>
      <c r="D257" s="141">
        <f t="shared" si="154"/>
        <v>0</v>
      </c>
      <c r="E257" s="141" t="str">
        <f>IFERROR(DGET($BV$30:$CC$82,F257,G256:G257),"")</f>
        <v/>
      </c>
      <c r="F257" s="142">
        <f t="shared" si="178"/>
        <v>0</v>
      </c>
      <c r="G257" s="142" t="b">
        <f>IF(Q257&gt;0,IF(AND(S257&gt;0,S257&lt;2),CONCATENATE(Q257," ","0-2"),IF(AND(S257&gt;=2,S257&lt;8),CONCATENATE(Q257," ","2-8"),)))</f>
        <v>0</v>
      </c>
      <c r="H257" s="80">
        <f t="shared" si="155"/>
        <v>0</v>
      </c>
      <c r="I257" s="80" t="str">
        <f t="shared" si="179"/>
        <v/>
      </c>
      <c r="J257" s="76"/>
      <c r="K257" s="76"/>
      <c r="L257" s="76"/>
      <c r="M257" s="80"/>
      <c r="N257" s="79"/>
      <c r="O257" s="148"/>
      <c r="P257" s="77">
        <f t="shared" si="180"/>
        <v>0</v>
      </c>
      <c r="Q257" s="81"/>
      <c r="R257" s="77"/>
      <c r="S257" s="146">
        <f t="shared" si="153"/>
        <v>0</v>
      </c>
      <c r="T257" s="141" t="b">
        <f t="shared" si="194"/>
        <v>0</v>
      </c>
      <c r="U257" s="649">
        <f t="shared" si="156"/>
        <v>0</v>
      </c>
      <c r="V257" s="650"/>
      <c r="W257" s="649">
        <f t="shared" si="157"/>
        <v>0</v>
      </c>
      <c r="X257" s="650"/>
      <c r="Y257" s="649">
        <f t="shared" si="158"/>
        <v>0</v>
      </c>
      <c r="Z257" s="650"/>
      <c r="AA257" s="649">
        <f t="shared" si="159"/>
        <v>0</v>
      </c>
      <c r="AB257" s="650"/>
      <c r="AC257" s="649">
        <f t="shared" si="160"/>
        <v>0</v>
      </c>
      <c r="AD257" s="650"/>
      <c r="AE257" s="649">
        <f t="shared" si="161"/>
        <v>0</v>
      </c>
      <c r="AF257" s="650"/>
      <c r="AG257" s="649">
        <f t="shared" si="162"/>
        <v>0</v>
      </c>
      <c r="AH257" s="650"/>
      <c r="AI257" s="649">
        <f t="shared" si="163"/>
        <v>0</v>
      </c>
      <c r="AJ257" s="650"/>
      <c r="AK257" s="649">
        <f t="shared" si="164"/>
        <v>0</v>
      </c>
      <c r="AL257" s="650"/>
      <c r="AM257" s="649">
        <f t="shared" si="165"/>
        <v>0</v>
      </c>
      <c r="AN257" s="650"/>
      <c r="AO257" s="649">
        <f t="shared" si="166"/>
        <v>0</v>
      </c>
      <c r="AP257" s="650"/>
      <c r="AQ257" s="649">
        <f t="shared" si="167"/>
        <v>0</v>
      </c>
      <c r="AR257" s="650"/>
      <c r="AS257" s="651">
        <f t="shared" si="168"/>
        <v>0</v>
      </c>
      <c r="AT257" s="652"/>
      <c r="AU257" s="141">
        <f t="shared" si="181"/>
        <v>0</v>
      </c>
      <c r="AV257" s="141">
        <f t="shared" si="182"/>
        <v>0</v>
      </c>
      <c r="AW257" s="141">
        <f t="shared" si="183"/>
        <v>0</v>
      </c>
      <c r="AX257" s="141">
        <f t="shared" si="184"/>
        <v>0</v>
      </c>
      <c r="AY257" s="141">
        <f t="shared" si="185"/>
        <v>0</v>
      </c>
      <c r="AZ257" s="141">
        <f t="shared" si="186"/>
        <v>0</v>
      </c>
      <c r="BA257" s="141">
        <f t="shared" si="187"/>
        <v>0</v>
      </c>
      <c r="BB257" s="141">
        <f t="shared" si="188"/>
        <v>0</v>
      </c>
      <c r="BC257" s="141">
        <f t="shared" si="189"/>
        <v>0</v>
      </c>
      <c r="BD257" s="141">
        <f t="shared" si="190"/>
        <v>0</v>
      </c>
      <c r="BE257" s="141">
        <f t="shared" si="191"/>
        <v>0</v>
      </c>
      <c r="BF257" s="141">
        <f t="shared" si="192"/>
        <v>0</v>
      </c>
      <c r="BG257" s="141">
        <f t="shared" si="169"/>
        <v>0</v>
      </c>
      <c r="BH257" s="141">
        <f t="shared" si="170"/>
        <v>0</v>
      </c>
      <c r="BI257" s="141">
        <f t="shared" si="193"/>
        <v>0</v>
      </c>
      <c r="BJ257" s="147">
        <f t="shared" si="171"/>
        <v>0</v>
      </c>
      <c r="BK257" s="141">
        <f t="shared" si="172"/>
        <v>0</v>
      </c>
      <c r="BL257" s="141">
        <f t="shared" si="173"/>
        <v>0</v>
      </c>
      <c r="BM257" s="141">
        <f t="shared" si="174"/>
        <v>0</v>
      </c>
      <c r="BN257" s="141">
        <f t="shared" si="175"/>
        <v>0</v>
      </c>
      <c r="BO257" s="141">
        <f t="shared" si="176"/>
        <v>0</v>
      </c>
      <c r="BP257" s="141">
        <f t="shared" si="177"/>
        <v>0</v>
      </c>
      <c r="BT257" s="177"/>
      <c r="BU257" s="173"/>
      <c r="BV257" s="174"/>
      <c r="BW257" s="117"/>
      <c r="BX257" s="180"/>
      <c r="BY257" s="117"/>
      <c r="BZ257" s="181"/>
      <c r="CA257" s="182"/>
      <c r="CB257" s="176"/>
      <c r="CC257" s="176"/>
      <c r="CF257" s="170"/>
      <c r="CG257" s="171"/>
      <c r="CH257" s="170"/>
      <c r="CI257" s="171"/>
    </row>
    <row r="258" spans="2:87" s="108" customFormat="1" ht="15" hidden="1" customHeight="1">
      <c r="B258" s="109"/>
      <c r="C258" s="141" t="e">
        <f t="shared" si="152"/>
        <v>#NUM!</v>
      </c>
      <c r="D258" s="141">
        <f t="shared" si="154"/>
        <v>0</v>
      </c>
      <c r="E258" s="141"/>
      <c r="F258" s="142">
        <f t="shared" si="178"/>
        <v>0</v>
      </c>
      <c r="G258" s="143" t="s">
        <v>146</v>
      </c>
      <c r="H258" s="80">
        <f t="shared" si="155"/>
        <v>0</v>
      </c>
      <c r="I258" s="80" t="str">
        <f t="shared" si="179"/>
        <v/>
      </c>
      <c r="J258" s="144"/>
      <c r="K258" s="144"/>
      <c r="L258" s="144"/>
      <c r="M258" s="76"/>
      <c r="N258" s="77"/>
      <c r="O258" s="145"/>
      <c r="P258" s="77">
        <f t="shared" si="180"/>
        <v>0</v>
      </c>
      <c r="Q258" s="78"/>
      <c r="R258" s="79"/>
      <c r="S258" s="146">
        <f t="shared" si="153"/>
        <v>0</v>
      </c>
      <c r="T258" s="141" t="b">
        <f t="shared" si="194"/>
        <v>0</v>
      </c>
      <c r="U258" s="649">
        <f t="shared" si="156"/>
        <v>0</v>
      </c>
      <c r="V258" s="650"/>
      <c r="W258" s="649">
        <f t="shared" si="157"/>
        <v>0</v>
      </c>
      <c r="X258" s="650"/>
      <c r="Y258" s="649">
        <f t="shared" si="158"/>
        <v>0</v>
      </c>
      <c r="Z258" s="650"/>
      <c r="AA258" s="649">
        <f t="shared" si="159"/>
        <v>0</v>
      </c>
      <c r="AB258" s="650"/>
      <c r="AC258" s="649">
        <f t="shared" si="160"/>
        <v>0</v>
      </c>
      <c r="AD258" s="650"/>
      <c r="AE258" s="649">
        <f t="shared" si="161"/>
        <v>0</v>
      </c>
      <c r="AF258" s="650"/>
      <c r="AG258" s="649">
        <f t="shared" si="162"/>
        <v>0</v>
      </c>
      <c r="AH258" s="650"/>
      <c r="AI258" s="649">
        <f t="shared" si="163"/>
        <v>0</v>
      </c>
      <c r="AJ258" s="650"/>
      <c r="AK258" s="649">
        <f t="shared" si="164"/>
        <v>0</v>
      </c>
      <c r="AL258" s="650"/>
      <c r="AM258" s="649">
        <f t="shared" si="165"/>
        <v>0</v>
      </c>
      <c r="AN258" s="650"/>
      <c r="AO258" s="649">
        <f t="shared" si="166"/>
        <v>0</v>
      </c>
      <c r="AP258" s="650"/>
      <c r="AQ258" s="649">
        <f t="shared" si="167"/>
        <v>0</v>
      </c>
      <c r="AR258" s="650"/>
      <c r="AS258" s="651">
        <f t="shared" si="168"/>
        <v>0</v>
      </c>
      <c r="AT258" s="652"/>
      <c r="AU258" s="141">
        <f t="shared" si="181"/>
        <v>0</v>
      </c>
      <c r="AV258" s="141">
        <f t="shared" si="182"/>
        <v>0</v>
      </c>
      <c r="AW258" s="141">
        <f t="shared" si="183"/>
        <v>0</v>
      </c>
      <c r="AX258" s="141">
        <f t="shared" si="184"/>
        <v>0</v>
      </c>
      <c r="AY258" s="141">
        <f t="shared" si="185"/>
        <v>0</v>
      </c>
      <c r="AZ258" s="141">
        <f t="shared" si="186"/>
        <v>0</v>
      </c>
      <c r="BA258" s="141">
        <f t="shared" si="187"/>
        <v>0</v>
      </c>
      <c r="BB258" s="141">
        <f t="shared" si="188"/>
        <v>0</v>
      </c>
      <c r="BC258" s="141">
        <f t="shared" si="189"/>
        <v>0</v>
      </c>
      <c r="BD258" s="141">
        <f t="shared" si="190"/>
        <v>0</v>
      </c>
      <c r="BE258" s="141">
        <f t="shared" si="191"/>
        <v>0</v>
      </c>
      <c r="BF258" s="141">
        <f t="shared" si="192"/>
        <v>0</v>
      </c>
      <c r="BG258" s="141">
        <f t="shared" si="169"/>
        <v>0</v>
      </c>
      <c r="BH258" s="141">
        <f t="shared" si="170"/>
        <v>0</v>
      </c>
      <c r="BI258" s="141">
        <f t="shared" si="193"/>
        <v>0</v>
      </c>
      <c r="BJ258" s="147">
        <f t="shared" si="171"/>
        <v>0</v>
      </c>
      <c r="BK258" s="141">
        <f t="shared" si="172"/>
        <v>0</v>
      </c>
      <c r="BL258" s="141">
        <f t="shared" si="173"/>
        <v>0</v>
      </c>
      <c r="BM258" s="141">
        <f t="shared" si="174"/>
        <v>0</v>
      </c>
      <c r="BN258" s="141">
        <f t="shared" si="175"/>
        <v>0</v>
      </c>
      <c r="BO258" s="141">
        <f t="shared" si="176"/>
        <v>0</v>
      </c>
      <c r="BP258" s="141">
        <f t="shared" si="177"/>
        <v>0</v>
      </c>
      <c r="BT258" s="177"/>
      <c r="BU258" s="173"/>
      <c r="BV258" s="174"/>
      <c r="BW258" s="117"/>
      <c r="BX258" s="180"/>
      <c r="BY258" s="117"/>
      <c r="BZ258" s="181"/>
      <c r="CA258" s="182"/>
      <c r="CB258" s="176"/>
      <c r="CC258" s="176"/>
      <c r="CF258" s="170"/>
      <c r="CG258" s="171"/>
      <c r="CH258" s="170"/>
      <c r="CI258" s="171"/>
    </row>
    <row r="259" spans="2:87" s="108" customFormat="1" ht="15" hidden="1" customHeight="1">
      <c r="B259" s="109"/>
      <c r="C259" s="141" t="e">
        <f t="shared" ref="C259:C286" si="195">IF(AND(LARGE(Q258:Q260,1)&gt;=$A$11,LARGE(Q258:Q260,1)&lt;=$B$11),500,IF(AND(LARGE(Q258:Q260,1)&gt;=$A$12,LARGE(Q258:Q260,1)&lt;=$B$12),500,IF(AND(LARGE(Q258:Q260,1)&gt;=$A$13,LARGE(Q258:Q260,1)&lt;=$B$13),600,IF(AND(LARGE(Q258:Q260,1)&gt;=$A$14,LARGE(Q258:Q260,1)&lt;=$B$14),700,IF(AND(LARGE(Q258:Q260,1)&gt;=$A$15,LARGE(Q258:Q260,1)&lt;=$B$15),800,IF(AND(LARGE(Q258:Q260,1)&gt;=$A$16,LARGE(Q258:Q260,1)&lt;=$B$16),900,IF(AND(LARGE(Q258:Q260,1)&gt;=$A$17,LARGE(Q258:Q260,1)&lt;=$B$17),1000,IF(AND(LARGE(Q258:Q260,1)&gt;=$A$18,LARGE(Q258:Q260,1)&lt;=$B$18),1100,IF(AND(LARGE(Q258:Q260,1)&gt;=$A$19,LARGE(Q258:Q260,1)&lt;=$B$19),1200)))))))))</f>
        <v>#NUM!</v>
      </c>
      <c r="D259" s="141">
        <f t="shared" si="154"/>
        <v>0</v>
      </c>
      <c r="E259" s="141" t="str">
        <f>IFERROR(DGET($BV$30:$CC$82,F259,G258:G259),"")</f>
        <v/>
      </c>
      <c r="F259" s="142">
        <f t="shared" si="178"/>
        <v>0</v>
      </c>
      <c r="G259" s="142" t="b">
        <f>IF(Q259&gt;0,IF(AND(S259&gt;0,S259&lt;2),CONCATENATE(Q259," ","0-2"),IF(AND(S259&gt;=2,S259&lt;8),CONCATENATE(Q259," ","2-8"),)))</f>
        <v>0</v>
      </c>
      <c r="H259" s="80">
        <f t="shared" si="155"/>
        <v>0</v>
      </c>
      <c r="I259" s="80" t="str">
        <f t="shared" si="179"/>
        <v/>
      </c>
      <c r="J259" s="76"/>
      <c r="K259" s="76"/>
      <c r="L259" s="76"/>
      <c r="M259" s="80"/>
      <c r="N259" s="79"/>
      <c r="O259" s="148"/>
      <c r="P259" s="77">
        <f t="shared" si="180"/>
        <v>0</v>
      </c>
      <c r="Q259" s="81"/>
      <c r="R259" s="77"/>
      <c r="S259" s="146">
        <f t="shared" ref="S259:S286" si="196">IF(AND(L259="água"),((R258+R260)/2)+((H259/1000))+BJ259+VLOOKUP(Q259,$CH$31:$CI$52,2,0)+VLOOKUP(Q259,$CF$31:$CG$52,2,0),IF(Q259&gt;0,((R258+R260)/2)+((H259/1000))+BJ259,0))</f>
        <v>0</v>
      </c>
      <c r="T259" s="141" t="b">
        <f t="shared" si="194"/>
        <v>0</v>
      </c>
      <c r="U259" s="649">
        <f t="shared" si="156"/>
        <v>0</v>
      </c>
      <c r="V259" s="650"/>
      <c r="W259" s="649">
        <f t="shared" si="157"/>
        <v>0</v>
      </c>
      <c r="X259" s="650"/>
      <c r="Y259" s="649">
        <f t="shared" si="158"/>
        <v>0</v>
      </c>
      <c r="Z259" s="650"/>
      <c r="AA259" s="649">
        <f t="shared" si="159"/>
        <v>0</v>
      </c>
      <c r="AB259" s="650"/>
      <c r="AC259" s="649">
        <f t="shared" si="160"/>
        <v>0</v>
      </c>
      <c r="AD259" s="650"/>
      <c r="AE259" s="649">
        <f t="shared" si="161"/>
        <v>0</v>
      </c>
      <c r="AF259" s="650"/>
      <c r="AG259" s="649">
        <f t="shared" si="162"/>
        <v>0</v>
      </c>
      <c r="AH259" s="650"/>
      <c r="AI259" s="649">
        <f t="shared" si="163"/>
        <v>0</v>
      </c>
      <c r="AJ259" s="650"/>
      <c r="AK259" s="649">
        <f t="shared" si="164"/>
        <v>0</v>
      </c>
      <c r="AL259" s="650"/>
      <c r="AM259" s="649">
        <f t="shared" si="165"/>
        <v>0</v>
      </c>
      <c r="AN259" s="650"/>
      <c r="AO259" s="649">
        <f t="shared" si="166"/>
        <v>0</v>
      </c>
      <c r="AP259" s="650"/>
      <c r="AQ259" s="649">
        <f t="shared" si="167"/>
        <v>0</v>
      </c>
      <c r="AR259" s="650"/>
      <c r="AS259" s="651">
        <f t="shared" si="168"/>
        <v>0</v>
      </c>
      <c r="AT259" s="652"/>
      <c r="AU259" s="141">
        <f t="shared" si="181"/>
        <v>0</v>
      </c>
      <c r="AV259" s="141">
        <f t="shared" si="182"/>
        <v>0</v>
      </c>
      <c r="AW259" s="141">
        <f t="shared" si="183"/>
        <v>0</v>
      </c>
      <c r="AX259" s="141">
        <f t="shared" si="184"/>
        <v>0</v>
      </c>
      <c r="AY259" s="141">
        <f t="shared" si="185"/>
        <v>0</v>
      </c>
      <c r="AZ259" s="141">
        <f t="shared" si="186"/>
        <v>0</v>
      </c>
      <c r="BA259" s="141">
        <f t="shared" si="187"/>
        <v>0</v>
      </c>
      <c r="BB259" s="141">
        <f t="shared" si="188"/>
        <v>0</v>
      </c>
      <c r="BC259" s="141">
        <f t="shared" si="189"/>
        <v>0</v>
      </c>
      <c r="BD259" s="141">
        <f t="shared" si="190"/>
        <v>0</v>
      </c>
      <c r="BE259" s="141">
        <f t="shared" si="191"/>
        <v>0</v>
      </c>
      <c r="BF259" s="141">
        <f t="shared" si="192"/>
        <v>0</v>
      </c>
      <c r="BG259" s="141">
        <f t="shared" si="169"/>
        <v>0</v>
      </c>
      <c r="BH259" s="141">
        <f t="shared" si="170"/>
        <v>0</v>
      </c>
      <c r="BI259" s="141">
        <f t="shared" si="193"/>
        <v>0</v>
      </c>
      <c r="BJ259" s="147">
        <f t="shared" si="171"/>
        <v>0</v>
      </c>
      <c r="BK259" s="141">
        <f t="shared" si="172"/>
        <v>0</v>
      </c>
      <c r="BL259" s="141">
        <f t="shared" si="173"/>
        <v>0</v>
      </c>
      <c r="BM259" s="141">
        <f t="shared" si="174"/>
        <v>0</v>
      </c>
      <c r="BN259" s="141">
        <f t="shared" si="175"/>
        <v>0</v>
      </c>
      <c r="BO259" s="141">
        <f t="shared" si="176"/>
        <v>0</v>
      </c>
      <c r="BP259" s="141">
        <f t="shared" si="177"/>
        <v>0</v>
      </c>
      <c r="BT259" s="177"/>
      <c r="BU259" s="173"/>
      <c r="BV259" s="174"/>
      <c r="BW259" s="117"/>
      <c r="BX259" s="180"/>
      <c r="BY259" s="117"/>
      <c r="BZ259" s="181"/>
      <c r="CA259" s="182"/>
      <c r="CB259" s="176"/>
      <c r="CC259" s="176"/>
      <c r="CF259" s="170"/>
      <c r="CG259" s="171"/>
      <c r="CH259" s="170"/>
      <c r="CI259" s="171"/>
    </row>
    <row r="260" spans="2:87" s="108" customFormat="1" ht="15" hidden="1" customHeight="1">
      <c r="B260" s="109"/>
      <c r="C260" s="141" t="e">
        <f t="shared" si="195"/>
        <v>#NUM!</v>
      </c>
      <c r="D260" s="141">
        <f t="shared" si="154"/>
        <v>0</v>
      </c>
      <c r="E260" s="141"/>
      <c r="F260" s="142">
        <f t="shared" si="178"/>
        <v>0</v>
      </c>
      <c r="G260" s="143" t="s">
        <v>146</v>
      </c>
      <c r="H260" s="80">
        <f t="shared" si="155"/>
        <v>0</v>
      </c>
      <c r="I260" s="80" t="str">
        <f t="shared" si="179"/>
        <v/>
      </c>
      <c r="J260" s="144"/>
      <c r="K260" s="144"/>
      <c r="L260" s="144"/>
      <c r="M260" s="76"/>
      <c r="N260" s="77"/>
      <c r="O260" s="145"/>
      <c r="P260" s="77">
        <f t="shared" si="180"/>
        <v>0</v>
      </c>
      <c r="Q260" s="78"/>
      <c r="R260" s="79"/>
      <c r="S260" s="146">
        <f t="shared" si="196"/>
        <v>0</v>
      </c>
      <c r="T260" s="141" t="b">
        <f t="shared" si="194"/>
        <v>0</v>
      </c>
      <c r="U260" s="649">
        <f t="shared" si="156"/>
        <v>0</v>
      </c>
      <c r="V260" s="650"/>
      <c r="W260" s="649">
        <f t="shared" si="157"/>
        <v>0</v>
      </c>
      <c r="X260" s="650"/>
      <c r="Y260" s="649">
        <f t="shared" si="158"/>
        <v>0</v>
      </c>
      <c r="Z260" s="650"/>
      <c r="AA260" s="649">
        <f t="shared" si="159"/>
        <v>0</v>
      </c>
      <c r="AB260" s="650"/>
      <c r="AC260" s="649">
        <f t="shared" si="160"/>
        <v>0</v>
      </c>
      <c r="AD260" s="650"/>
      <c r="AE260" s="649">
        <f t="shared" si="161"/>
        <v>0</v>
      </c>
      <c r="AF260" s="650"/>
      <c r="AG260" s="649">
        <f t="shared" si="162"/>
        <v>0</v>
      </c>
      <c r="AH260" s="650"/>
      <c r="AI260" s="649">
        <f t="shared" si="163"/>
        <v>0</v>
      </c>
      <c r="AJ260" s="650"/>
      <c r="AK260" s="649">
        <f t="shared" si="164"/>
        <v>0</v>
      </c>
      <c r="AL260" s="650"/>
      <c r="AM260" s="649">
        <f t="shared" si="165"/>
        <v>0</v>
      </c>
      <c r="AN260" s="650"/>
      <c r="AO260" s="649">
        <f t="shared" si="166"/>
        <v>0</v>
      </c>
      <c r="AP260" s="650"/>
      <c r="AQ260" s="649">
        <f t="shared" si="167"/>
        <v>0</v>
      </c>
      <c r="AR260" s="650"/>
      <c r="AS260" s="651">
        <f t="shared" si="168"/>
        <v>0</v>
      </c>
      <c r="AT260" s="652"/>
      <c r="AU260" s="141">
        <f t="shared" si="181"/>
        <v>0</v>
      </c>
      <c r="AV260" s="141">
        <f t="shared" si="182"/>
        <v>0</v>
      </c>
      <c r="AW260" s="141">
        <f t="shared" si="183"/>
        <v>0</v>
      </c>
      <c r="AX260" s="141">
        <f t="shared" si="184"/>
        <v>0</v>
      </c>
      <c r="AY260" s="141">
        <f t="shared" si="185"/>
        <v>0</v>
      </c>
      <c r="AZ260" s="141">
        <f t="shared" si="186"/>
        <v>0</v>
      </c>
      <c r="BA260" s="141">
        <f t="shared" si="187"/>
        <v>0</v>
      </c>
      <c r="BB260" s="141">
        <f t="shared" si="188"/>
        <v>0</v>
      </c>
      <c r="BC260" s="141">
        <f t="shared" si="189"/>
        <v>0</v>
      </c>
      <c r="BD260" s="141">
        <f t="shared" si="190"/>
        <v>0</v>
      </c>
      <c r="BE260" s="141">
        <f t="shared" si="191"/>
        <v>0</v>
      </c>
      <c r="BF260" s="141">
        <f t="shared" si="192"/>
        <v>0</v>
      </c>
      <c r="BG260" s="141">
        <f t="shared" si="169"/>
        <v>0</v>
      </c>
      <c r="BH260" s="141">
        <f t="shared" si="170"/>
        <v>0</v>
      </c>
      <c r="BI260" s="141">
        <f t="shared" si="193"/>
        <v>0</v>
      </c>
      <c r="BJ260" s="147">
        <f t="shared" si="171"/>
        <v>0</v>
      </c>
      <c r="BK260" s="141">
        <f t="shared" si="172"/>
        <v>0</v>
      </c>
      <c r="BL260" s="141">
        <f t="shared" si="173"/>
        <v>0</v>
      </c>
      <c r="BM260" s="141">
        <f t="shared" si="174"/>
        <v>0</v>
      </c>
      <c r="BN260" s="141">
        <f t="shared" si="175"/>
        <v>0</v>
      </c>
      <c r="BO260" s="141">
        <f t="shared" si="176"/>
        <v>0</v>
      </c>
      <c r="BP260" s="141">
        <f t="shared" si="177"/>
        <v>0</v>
      </c>
      <c r="BT260" s="177"/>
      <c r="BU260" s="173"/>
      <c r="BV260" s="174"/>
      <c r="BW260" s="117"/>
      <c r="BX260" s="180"/>
      <c r="BY260" s="117"/>
      <c r="BZ260" s="181"/>
      <c r="CA260" s="182"/>
      <c r="CB260" s="176"/>
      <c r="CC260" s="176"/>
      <c r="CF260" s="170"/>
      <c r="CG260" s="171"/>
      <c r="CH260" s="170"/>
      <c r="CI260" s="171"/>
    </row>
    <row r="261" spans="2:87" s="108" customFormat="1" ht="15" hidden="1" customHeight="1">
      <c r="B261" s="109"/>
      <c r="C261" s="141" t="e">
        <f t="shared" si="195"/>
        <v>#NUM!</v>
      </c>
      <c r="D261" s="141">
        <f t="shared" si="154"/>
        <v>0</v>
      </c>
      <c r="E261" s="141" t="str">
        <f>IFERROR(DGET($BV$30:$CC$82,F261,G260:G261),"")</f>
        <v/>
      </c>
      <c r="F261" s="142">
        <f t="shared" si="178"/>
        <v>0</v>
      </c>
      <c r="G261" s="142" t="b">
        <f>IF(Q261&gt;0,IF(AND(S261&gt;0,S261&lt;2),CONCATENATE(Q261," ","0-2"),IF(AND(S261&gt;=2,S261&lt;8),CONCATENATE(Q261," ","2-8"),)))</f>
        <v>0</v>
      </c>
      <c r="H261" s="80">
        <f t="shared" si="155"/>
        <v>0</v>
      </c>
      <c r="I261" s="80" t="str">
        <f t="shared" si="179"/>
        <v/>
      </c>
      <c r="J261" s="76"/>
      <c r="K261" s="76"/>
      <c r="L261" s="76"/>
      <c r="M261" s="80"/>
      <c r="N261" s="79"/>
      <c r="O261" s="148"/>
      <c r="P261" s="77">
        <f t="shared" si="180"/>
        <v>0</v>
      </c>
      <c r="Q261" s="81"/>
      <c r="R261" s="77"/>
      <c r="S261" s="146">
        <f t="shared" si="196"/>
        <v>0</v>
      </c>
      <c r="T261" s="141" t="b">
        <f t="shared" si="194"/>
        <v>0</v>
      </c>
      <c r="U261" s="649">
        <f t="shared" si="156"/>
        <v>0</v>
      </c>
      <c r="V261" s="650"/>
      <c r="W261" s="649">
        <f t="shared" si="157"/>
        <v>0</v>
      </c>
      <c r="X261" s="650"/>
      <c r="Y261" s="649">
        <f t="shared" si="158"/>
        <v>0</v>
      </c>
      <c r="Z261" s="650"/>
      <c r="AA261" s="649">
        <f t="shared" si="159"/>
        <v>0</v>
      </c>
      <c r="AB261" s="650"/>
      <c r="AC261" s="649">
        <f t="shared" si="160"/>
        <v>0</v>
      </c>
      <c r="AD261" s="650"/>
      <c r="AE261" s="649">
        <f t="shared" si="161"/>
        <v>0</v>
      </c>
      <c r="AF261" s="650"/>
      <c r="AG261" s="649">
        <f t="shared" si="162"/>
        <v>0</v>
      </c>
      <c r="AH261" s="650"/>
      <c r="AI261" s="649">
        <f t="shared" si="163"/>
        <v>0</v>
      </c>
      <c r="AJ261" s="650"/>
      <c r="AK261" s="649">
        <f t="shared" si="164"/>
        <v>0</v>
      </c>
      <c r="AL261" s="650"/>
      <c r="AM261" s="649">
        <f t="shared" si="165"/>
        <v>0</v>
      </c>
      <c r="AN261" s="650"/>
      <c r="AO261" s="649">
        <f t="shared" si="166"/>
        <v>0</v>
      </c>
      <c r="AP261" s="650"/>
      <c r="AQ261" s="649">
        <f t="shared" si="167"/>
        <v>0</v>
      </c>
      <c r="AR261" s="650"/>
      <c r="AS261" s="651">
        <f t="shared" si="168"/>
        <v>0</v>
      </c>
      <c r="AT261" s="652"/>
      <c r="AU261" s="141">
        <f t="shared" si="181"/>
        <v>0</v>
      </c>
      <c r="AV261" s="141">
        <f t="shared" si="182"/>
        <v>0</v>
      </c>
      <c r="AW261" s="141">
        <f t="shared" si="183"/>
        <v>0</v>
      </c>
      <c r="AX261" s="141">
        <f t="shared" si="184"/>
        <v>0</v>
      </c>
      <c r="AY261" s="141">
        <f t="shared" si="185"/>
        <v>0</v>
      </c>
      <c r="AZ261" s="141">
        <f t="shared" si="186"/>
        <v>0</v>
      </c>
      <c r="BA261" s="141">
        <f t="shared" si="187"/>
        <v>0</v>
      </c>
      <c r="BB261" s="141">
        <f t="shared" si="188"/>
        <v>0</v>
      </c>
      <c r="BC261" s="141">
        <f t="shared" si="189"/>
        <v>0</v>
      </c>
      <c r="BD261" s="141">
        <f t="shared" si="190"/>
        <v>0</v>
      </c>
      <c r="BE261" s="141">
        <f t="shared" si="191"/>
        <v>0</v>
      </c>
      <c r="BF261" s="141">
        <f t="shared" si="192"/>
        <v>0</v>
      </c>
      <c r="BG261" s="141">
        <f t="shared" si="169"/>
        <v>0</v>
      </c>
      <c r="BH261" s="141">
        <f t="shared" si="170"/>
        <v>0</v>
      </c>
      <c r="BI261" s="141">
        <f t="shared" si="193"/>
        <v>0</v>
      </c>
      <c r="BJ261" s="147">
        <f t="shared" si="171"/>
        <v>0</v>
      </c>
      <c r="BK261" s="141">
        <f t="shared" si="172"/>
        <v>0</v>
      </c>
      <c r="BL261" s="141">
        <f t="shared" si="173"/>
        <v>0</v>
      </c>
      <c r="BM261" s="141">
        <f t="shared" si="174"/>
        <v>0</v>
      </c>
      <c r="BN261" s="141">
        <f t="shared" si="175"/>
        <v>0</v>
      </c>
      <c r="BO261" s="141">
        <f t="shared" si="176"/>
        <v>0</v>
      </c>
      <c r="BP261" s="141">
        <f t="shared" si="177"/>
        <v>0</v>
      </c>
      <c r="BT261" s="177"/>
      <c r="BU261" s="173"/>
      <c r="BV261" s="174"/>
      <c r="BW261" s="117"/>
      <c r="BX261" s="180"/>
      <c r="BY261" s="117"/>
      <c r="BZ261" s="181"/>
      <c r="CA261" s="182"/>
      <c r="CB261" s="176"/>
      <c r="CC261" s="176"/>
      <c r="CF261" s="170"/>
      <c r="CG261" s="171"/>
      <c r="CH261" s="170"/>
      <c r="CI261" s="171"/>
    </row>
    <row r="262" spans="2:87" s="108" customFormat="1" ht="15" hidden="1" customHeight="1">
      <c r="B262" s="109"/>
      <c r="C262" s="141" t="e">
        <f t="shared" si="195"/>
        <v>#NUM!</v>
      </c>
      <c r="D262" s="141">
        <f t="shared" si="154"/>
        <v>0</v>
      </c>
      <c r="E262" s="141"/>
      <c r="F262" s="142">
        <f t="shared" si="178"/>
        <v>0</v>
      </c>
      <c r="G262" s="143" t="s">
        <v>146</v>
      </c>
      <c r="H262" s="80">
        <f t="shared" si="155"/>
        <v>0</v>
      </c>
      <c r="I262" s="80" t="str">
        <f t="shared" si="179"/>
        <v/>
      </c>
      <c r="J262" s="144"/>
      <c r="K262" s="144"/>
      <c r="L262" s="144"/>
      <c r="M262" s="76"/>
      <c r="N262" s="77"/>
      <c r="O262" s="145"/>
      <c r="P262" s="77">
        <f t="shared" si="180"/>
        <v>0</v>
      </c>
      <c r="Q262" s="78"/>
      <c r="R262" s="79"/>
      <c r="S262" s="146">
        <f t="shared" si="196"/>
        <v>0</v>
      </c>
      <c r="T262" s="141" t="b">
        <f t="shared" si="194"/>
        <v>0</v>
      </c>
      <c r="U262" s="649">
        <f t="shared" si="156"/>
        <v>0</v>
      </c>
      <c r="V262" s="650"/>
      <c r="W262" s="649">
        <f t="shared" si="157"/>
        <v>0</v>
      </c>
      <c r="X262" s="650"/>
      <c r="Y262" s="649">
        <f t="shared" si="158"/>
        <v>0</v>
      </c>
      <c r="Z262" s="650"/>
      <c r="AA262" s="649">
        <f t="shared" si="159"/>
        <v>0</v>
      </c>
      <c r="AB262" s="650"/>
      <c r="AC262" s="649">
        <f t="shared" si="160"/>
        <v>0</v>
      </c>
      <c r="AD262" s="650"/>
      <c r="AE262" s="649">
        <f t="shared" si="161"/>
        <v>0</v>
      </c>
      <c r="AF262" s="650"/>
      <c r="AG262" s="649">
        <f t="shared" si="162"/>
        <v>0</v>
      </c>
      <c r="AH262" s="650"/>
      <c r="AI262" s="649">
        <f t="shared" si="163"/>
        <v>0</v>
      </c>
      <c r="AJ262" s="650"/>
      <c r="AK262" s="649">
        <f t="shared" si="164"/>
        <v>0</v>
      </c>
      <c r="AL262" s="650"/>
      <c r="AM262" s="649">
        <f t="shared" si="165"/>
        <v>0</v>
      </c>
      <c r="AN262" s="650"/>
      <c r="AO262" s="649">
        <f t="shared" si="166"/>
        <v>0</v>
      </c>
      <c r="AP262" s="650"/>
      <c r="AQ262" s="649">
        <f t="shared" si="167"/>
        <v>0</v>
      </c>
      <c r="AR262" s="650"/>
      <c r="AS262" s="651">
        <f t="shared" si="168"/>
        <v>0</v>
      </c>
      <c r="AT262" s="652"/>
      <c r="AU262" s="141">
        <f t="shared" si="181"/>
        <v>0</v>
      </c>
      <c r="AV262" s="141">
        <f t="shared" si="182"/>
        <v>0</v>
      </c>
      <c r="AW262" s="141">
        <f t="shared" si="183"/>
        <v>0</v>
      </c>
      <c r="AX262" s="141">
        <f t="shared" si="184"/>
        <v>0</v>
      </c>
      <c r="AY262" s="141">
        <f t="shared" si="185"/>
        <v>0</v>
      </c>
      <c r="AZ262" s="141">
        <f t="shared" si="186"/>
        <v>0</v>
      </c>
      <c r="BA262" s="141">
        <f t="shared" si="187"/>
        <v>0</v>
      </c>
      <c r="BB262" s="141">
        <f t="shared" si="188"/>
        <v>0</v>
      </c>
      <c r="BC262" s="141">
        <f t="shared" si="189"/>
        <v>0</v>
      </c>
      <c r="BD262" s="141">
        <f t="shared" si="190"/>
        <v>0</v>
      </c>
      <c r="BE262" s="141">
        <f t="shared" si="191"/>
        <v>0</v>
      </c>
      <c r="BF262" s="141">
        <f t="shared" si="192"/>
        <v>0</v>
      </c>
      <c r="BG262" s="141">
        <f t="shared" si="169"/>
        <v>0</v>
      </c>
      <c r="BH262" s="141">
        <f t="shared" si="170"/>
        <v>0</v>
      </c>
      <c r="BI262" s="141">
        <f t="shared" si="193"/>
        <v>0</v>
      </c>
      <c r="BJ262" s="147">
        <f t="shared" si="171"/>
        <v>0</v>
      </c>
      <c r="BK262" s="141">
        <f t="shared" si="172"/>
        <v>0</v>
      </c>
      <c r="BL262" s="141">
        <f t="shared" si="173"/>
        <v>0</v>
      </c>
      <c r="BM262" s="141">
        <f t="shared" si="174"/>
        <v>0</v>
      </c>
      <c r="BN262" s="141">
        <f t="shared" si="175"/>
        <v>0</v>
      </c>
      <c r="BO262" s="141">
        <f t="shared" si="176"/>
        <v>0</v>
      </c>
      <c r="BP262" s="141">
        <f t="shared" si="177"/>
        <v>0</v>
      </c>
      <c r="BT262" s="177"/>
      <c r="BU262" s="173"/>
      <c r="BV262" s="174"/>
      <c r="BW262" s="117"/>
      <c r="BX262" s="180"/>
      <c r="BY262" s="117"/>
      <c r="BZ262" s="181"/>
      <c r="CA262" s="182"/>
      <c r="CB262" s="176"/>
      <c r="CC262" s="176"/>
      <c r="CF262" s="170"/>
      <c r="CG262" s="171"/>
      <c r="CH262" s="170"/>
      <c r="CI262" s="171"/>
    </row>
    <row r="263" spans="2:87" s="108" customFormat="1" ht="15" hidden="1" customHeight="1">
      <c r="B263" s="109"/>
      <c r="C263" s="141" t="e">
        <f t="shared" si="195"/>
        <v>#NUM!</v>
      </c>
      <c r="D263" s="141">
        <f t="shared" si="154"/>
        <v>0</v>
      </c>
      <c r="E263" s="141" t="str">
        <f>IFERROR(DGET($BV$30:$CC$82,F263,G262:G263),"")</f>
        <v/>
      </c>
      <c r="F263" s="142">
        <f t="shared" si="178"/>
        <v>0</v>
      </c>
      <c r="G263" s="142" t="b">
        <f>IF(Q263&gt;0,IF(AND(S263&gt;0,S263&lt;2),CONCATENATE(Q263," ","0-2"),IF(AND(S263&gt;=2,S263&lt;8),CONCATENATE(Q263," ","2-8"),)))</f>
        <v>0</v>
      </c>
      <c r="H263" s="80">
        <f t="shared" si="155"/>
        <v>0</v>
      </c>
      <c r="I263" s="80" t="str">
        <f t="shared" si="179"/>
        <v/>
      </c>
      <c r="J263" s="76"/>
      <c r="K263" s="76"/>
      <c r="L263" s="76"/>
      <c r="M263" s="80"/>
      <c r="N263" s="79"/>
      <c r="O263" s="148"/>
      <c r="P263" s="77">
        <f t="shared" si="180"/>
        <v>0</v>
      </c>
      <c r="Q263" s="81"/>
      <c r="R263" s="77"/>
      <c r="S263" s="146">
        <f t="shared" si="196"/>
        <v>0</v>
      </c>
      <c r="T263" s="141" t="b">
        <f t="shared" si="194"/>
        <v>0</v>
      </c>
      <c r="U263" s="649">
        <f t="shared" si="156"/>
        <v>0</v>
      </c>
      <c r="V263" s="650"/>
      <c r="W263" s="649">
        <f t="shared" si="157"/>
        <v>0</v>
      </c>
      <c r="X263" s="650"/>
      <c r="Y263" s="649">
        <f t="shared" si="158"/>
        <v>0</v>
      </c>
      <c r="Z263" s="650"/>
      <c r="AA263" s="649">
        <f t="shared" si="159"/>
        <v>0</v>
      </c>
      <c r="AB263" s="650"/>
      <c r="AC263" s="649">
        <f t="shared" si="160"/>
        <v>0</v>
      </c>
      <c r="AD263" s="650"/>
      <c r="AE263" s="649">
        <f t="shared" si="161"/>
        <v>0</v>
      </c>
      <c r="AF263" s="650"/>
      <c r="AG263" s="649">
        <f t="shared" si="162"/>
        <v>0</v>
      </c>
      <c r="AH263" s="650"/>
      <c r="AI263" s="649">
        <f t="shared" si="163"/>
        <v>0</v>
      </c>
      <c r="AJ263" s="650"/>
      <c r="AK263" s="649">
        <f t="shared" si="164"/>
        <v>0</v>
      </c>
      <c r="AL263" s="650"/>
      <c r="AM263" s="649">
        <f t="shared" si="165"/>
        <v>0</v>
      </c>
      <c r="AN263" s="650"/>
      <c r="AO263" s="649">
        <f t="shared" si="166"/>
        <v>0</v>
      </c>
      <c r="AP263" s="650"/>
      <c r="AQ263" s="649">
        <f t="shared" si="167"/>
        <v>0</v>
      </c>
      <c r="AR263" s="650"/>
      <c r="AS263" s="651">
        <f t="shared" si="168"/>
        <v>0</v>
      </c>
      <c r="AT263" s="652"/>
      <c r="AU263" s="141">
        <f t="shared" si="181"/>
        <v>0</v>
      </c>
      <c r="AV263" s="141">
        <f t="shared" si="182"/>
        <v>0</v>
      </c>
      <c r="AW263" s="141">
        <f t="shared" si="183"/>
        <v>0</v>
      </c>
      <c r="AX263" s="141">
        <f t="shared" si="184"/>
        <v>0</v>
      </c>
      <c r="AY263" s="141">
        <f t="shared" si="185"/>
        <v>0</v>
      </c>
      <c r="AZ263" s="141">
        <f t="shared" si="186"/>
        <v>0</v>
      </c>
      <c r="BA263" s="141">
        <f t="shared" si="187"/>
        <v>0</v>
      </c>
      <c r="BB263" s="141">
        <f t="shared" si="188"/>
        <v>0</v>
      </c>
      <c r="BC263" s="141">
        <f t="shared" si="189"/>
        <v>0</v>
      </c>
      <c r="BD263" s="141">
        <f t="shared" si="190"/>
        <v>0</v>
      </c>
      <c r="BE263" s="141">
        <f t="shared" si="191"/>
        <v>0</v>
      </c>
      <c r="BF263" s="141">
        <f t="shared" si="192"/>
        <v>0</v>
      </c>
      <c r="BG263" s="141">
        <f t="shared" si="169"/>
        <v>0</v>
      </c>
      <c r="BH263" s="141">
        <f t="shared" si="170"/>
        <v>0</v>
      </c>
      <c r="BI263" s="141">
        <f t="shared" si="193"/>
        <v>0</v>
      </c>
      <c r="BJ263" s="147">
        <f t="shared" si="171"/>
        <v>0</v>
      </c>
      <c r="BK263" s="141">
        <f t="shared" si="172"/>
        <v>0</v>
      </c>
      <c r="BL263" s="141">
        <f t="shared" si="173"/>
        <v>0</v>
      </c>
      <c r="BM263" s="141">
        <f t="shared" si="174"/>
        <v>0</v>
      </c>
      <c r="BN263" s="141">
        <f t="shared" si="175"/>
        <v>0</v>
      </c>
      <c r="BO263" s="141">
        <f t="shared" si="176"/>
        <v>0</v>
      </c>
      <c r="BP263" s="141">
        <f t="shared" si="177"/>
        <v>0</v>
      </c>
      <c r="BT263" s="177"/>
      <c r="BU263" s="173"/>
      <c r="BV263" s="174"/>
      <c r="BW263" s="117"/>
      <c r="BX263" s="180"/>
      <c r="BY263" s="117"/>
      <c r="BZ263" s="181"/>
      <c r="CA263" s="182"/>
      <c r="CB263" s="176"/>
      <c r="CC263" s="176"/>
      <c r="CF263" s="170"/>
      <c r="CG263" s="171"/>
      <c r="CH263" s="170"/>
      <c r="CI263" s="171"/>
    </row>
    <row r="264" spans="2:87" s="108" customFormat="1" ht="15" hidden="1" customHeight="1">
      <c r="B264" s="109"/>
      <c r="C264" s="141" t="e">
        <f t="shared" si="195"/>
        <v>#NUM!</v>
      </c>
      <c r="D264" s="141">
        <f t="shared" si="154"/>
        <v>0</v>
      </c>
      <c r="E264" s="141"/>
      <c r="F264" s="142">
        <f t="shared" si="178"/>
        <v>0</v>
      </c>
      <c r="G264" s="143" t="s">
        <v>146</v>
      </c>
      <c r="H264" s="80">
        <f t="shared" si="155"/>
        <v>0</v>
      </c>
      <c r="I264" s="80" t="str">
        <f t="shared" si="179"/>
        <v/>
      </c>
      <c r="J264" s="144"/>
      <c r="K264" s="144"/>
      <c r="L264" s="144"/>
      <c r="M264" s="76"/>
      <c r="N264" s="77"/>
      <c r="O264" s="145"/>
      <c r="P264" s="77">
        <f t="shared" si="180"/>
        <v>0</v>
      </c>
      <c r="Q264" s="78"/>
      <c r="R264" s="79"/>
      <c r="S264" s="146">
        <f t="shared" si="196"/>
        <v>0</v>
      </c>
      <c r="T264" s="141" t="b">
        <f t="shared" si="194"/>
        <v>0</v>
      </c>
      <c r="U264" s="649">
        <f t="shared" si="156"/>
        <v>0</v>
      </c>
      <c r="V264" s="650"/>
      <c r="W264" s="649">
        <f t="shared" si="157"/>
        <v>0</v>
      </c>
      <c r="X264" s="650"/>
      <c r="Y264" s="649">
        <f t="shared" si="158"/>
        <v>0</v>
      </c>
      <c r="Z264" s="650"/>
      <c r="AA264" s="649">
        <f t="shared" si="159"/>
        <v>0</v>
      </c>
      <c r="AB264" s="650"/>
      <c r="AC264" s="649">
        <f t="shared" si="160"/>
        <v>0</v>
      </c>
      <c r="AD264" s="650"/>
      <c r="AE264" s="649">
        <f t="shared" si="161"/>
        <v>0</v>
      </c>
      <c r="AF264" s="650"/>
      <c r="AG264" s="649">
        <f t="shared" si="162"/>
        <v>0</v>
      </c>
      <c r="AH264" s="650"/>
      <c r="AI264" s="649">
        <f t="shared" si="163"/>
        <v>0</v>
      </c>
      <c r="AJ264" s="650"/>
      <c r="AK264" s="649">
        <f t="shared" si="164"/>
        <v>0</v>
      </c>
      <c r="AL264" s="650"/>
      <c r="AM264" s="649">
        <f t="shared" si="165"/>
        <v>0</v>
      </c>
      <c r="AN264" s="650"/>
      <c r="AO264" s="649">
        <f t="shared" si="166"/>
        <v>0</v>
      </c>
      <c r="AP264" s="650"/>
      <c r="AQ264" s="649">
        <f t="shared" si="167"/>
        <v>0</v>
      </c>
      <c r="AR264" s="650"/>
      <c r="AS264" s="651">
        <f t="shared" si="168"/>
        <v>0</v>
      </c>
      <c r="AT264" s="652"/>
      <c r="AU264" s="141">
        <f t="shared" si="181"/>
        <v>0</v>
      </c>
      <c r="AV264" s="141">
        <f t="shared" si="182"/>
        <v>0</v>
      </c>
      <c r="AW264" s="141">
        <f t="shared" si="183"/>
        <v>0</v>
      </c>
      <c r="AX264" s="141">
        <f t="shared" si="184"/>
        <v>0</v>
      </c>
      <c r="AY264" s="141">
        <f t="shared" si="185"/>
        <v>0</v>
      </c>
      <c r="AZ264" s="141">
        <f t="shared" si="186"/>
        <v>0</v>
      </c>
      <c r="BA264" s="141">
        <f t="shared" si="187"/>
        <v>0</v>
      </c>
      <c r="BB264" s="141">
        <f t="shared" si="188"/>
        <v>0</v>
      </c>
      <c r="BC264" s="141">
        <f t="shared" si="189"/>
        <v>0</v>
      </c>
      <c r="BD264" s="141">
        <f t="shared" si="190"/>
        <v>0</v>
      </c>
      <c r="BE264" s="141">
        <f t="shared" si="191"/>
        <v>0</v>
      </c>
      <c r="BF264" s="141">
        <f t="shared" si="192"/>
        <v>0</v>
      </c>
      <c r="BG264" s="141">
        <f t="shared" si="169"/>
        <v>0</v>
      </c>
      <c r="BH264" s="141">
        <f t="shared" si="170"/>
        <v>0</v>
      </c>
      <c r="BI264" s="141">
        <f t="shared" si="193"/>
        <v>0</v>
      </c>
      <c r="BJ264" s="147">
        <f t="shared" si="171"/>
        <v>0</v>
      </c>
      <c r="BK264" s="141">
        <f t="shared" si="172"/>
        <v>0</v>
      </c>
      <c r="BL264" s="141">
        <f t="shared" si="173"/>
        <v>0</v>
      </c>
      <c r="BM264" s="141">
        <f t="shared" si="174"/>
        <v>0</v>
      </c>
      <c r="BN264" s="141">
        <f t="shared" si="175"/>
        <v>0</v>
      </c>
      <c r="BO264" s="141">
        <f t="shared" si="176"/>
        <v>0</v>
      </c>
      <c r="BP264" s="141">
        <f t="shared" si="177"/>
        <v>0</v>
      </c>
      <c r="BT264" s="177"/>
      <c r="BU264" s="173"/>
      <c r="BV264" s="174"/>
      <c r="BW264" s="117"/>
      <c r="BX264" s="180"/>
      <c r="BY264" s="117"/>
      <c r="BZ264" s="181"/>
      <c r="CA264" s="182"/>
      <c r="CB264" s="176"/>
      <c r="CC264" s="176"/>
      <c r="CF264" s="170"/>
      <c r="CG264" s="171"/>
      <c r="CH264" s="170"/>
      <c r="CI264" s="171"/>
    </row>
    <row r="265" spans="2:87" s="108" customFormat="1" ht="15" hidden="1" customHeight="1">
      <c r="B265" s="109"/>
      <c r="C265" s="141" t="e">
        <f t="shared" si="195"/>
        <v>#NUM!</v>
      </c>
      <c r="D265" s="141">
        <f t="shared" si="154"/>
        <v>0</v>
      </c>
      <c r="E265" s="141" t="str">
        <f>IFERROR(DGET($BV$30:$CC$82,F265,G264:G265),"")</f>
        <v/>
      </c>
      <c r="F265" s="142">
        <f t="shared" si="178"/>
        <v>0</v>
      </c>
      <c r="G265" s="142" t="b">
        <f>IF(Q265&gt;0,IF(AND(S265&gt;0,S265&lt;2),CONCATENATE(Q265," ","0-2"),IF(AND(S265&gt;=2,S265&lt;8),CONCATENATE(Q265," ","2-8"),)))</f>
        <v>0</v>
      </c>
      <c r="H265" s="80">
        <f t="shared" si="155"/>
        <v>0</v>
      </c>
      <c r="I265" s="80" t="str">
        <f t="shared" si="179"/>
        <v/>
      </c>
      <c r="J265" s="76"/>
      <c r="K265" s="76"/>
      <c r="L265" s="76"/>
      <c r="M265" s="80"/>
      <c r="N265" s="79"/>
      <c r="O265" s="148"/>
      <c r="P265" s="77">
        <f t="shared" si="180"/>
        <v>0</v>
      </c>
      <c r="Q265" s="81"/>
      <c r="R265" s="77"/>
      <c r="S265" s="146">
        <f t="shared" si="196"/>
        <v>0</v>
      </c>
      <c r="T265" s="141" t="b">
        <f t="shared" si="194"/>
        <v>0</v>
      </c>
      <c r="U265" s="649">
        <f t="shared" si="156"/>
        <v>0</v>
      </c>
      <c r="V265" s="650"/>
      <c r="W265" s="649">
        <f t="shared" si="157"/>
        <v>0</v>
      </c>
      <c r="X265" s="650"/>
      <c r="Y265" s="649">
        <f t="shared" si="158"/>
        <v>0</v>
      </c>
      <c r="Z265" s="650"/>
      <c r="AA265" s="649">
        <f t="shared" si="159"/>
        <v>0</v>
      </c>
      <c r="AB265" s="650"/>
      <c r="AC265" s="649">
        <f t="shared" si="160"/>
        <v>0</v>
      </c>
      <c r="AD265" s="650"/>
      <c r="AE265" s="649">
        <f t="shared" si="161"/>
        <v>0</v>
      </c>
      <c r="AF265" s="650"/>
      <c r="AG265" s="649">
        <f t="shared" si="162"/>
        <v>0</v>
      </c>
      <c r="AH265" s="650"/>
      <c r="AI265" s="649">
        <f t="shared" si="163"/>
        <v>0</v>
      </c>
      <c r="AJ265" s="650"/>
      <c r="AK265" s="649">
        <f t="shared" si="164"/>
        <v>0</v>
      </c>
      <c r="AL265" s="650"/>
      <c r="AM265" s="649">
        <f t="shared" si="165"/>
        <v>0</v>
      </c>
      <c r="AN265" s="650"/>
      <c r="AO265" s="649">
        <f t="shared" si="166"/>
        <v>0</v>
      </c>
      <c r="AP265" s="650"/>
      <c r="AQ265" s="649">
        <f t="shared" si="167"/>
        <v>0</v>
      </c>
      <c r="AR265" s="650"/>
      <c r="AS265" s="651">
        <f t="shared" si="168"/>
        <v>0</v>
      </c>
      <c r="AT265" s="652"/>
      <c r="AU265" s="141">
        <f t="shared" si="181"/>
        <v>0</v>
      </c>
      <c r="AV265" s="141">
        <f t="shared" si="182"/>
        <v>0</v>
      </c>
      <c r="AW265" s="141">
        <f t="shared" si="183"/>
        <v>0</v>
      </c>
      <c r="AX265" s="141">
        <f t="shared" si="184"/>
        <v>0</v>
      </c>
      <c r="AY265" s="141">
        <f t="shared" si="185"/>
        <v>0</v>
      </c>
      <c r="AZ265" s="141">
        <f t="shared" si="186"/>
        <v>0</v>
      </c>
      <c r="BA265" s="141">
        <f t="shared" si="187"/>
        <v>0</v>
      </c>
      <c r="BB265" s="141">
        <f t="shared" si="188"/>
        <v>0</v>
      </c>
      <c r="BC265" s="141">
        <f t="shared" si="189"/>
        <v>0</v>
      </c>
      <c r="BD265" s="141">
        <f t="shared" si="190"/>
        <v>0</v>
      </c>
      <c r="BE265" s="141">
        <f t="shared" si="191"/>
        <v>0</v>
      </c>
      <c r="BF265" s="141">
        <f t="shared" si="192"/>
        <v>0</v>
      </c>
      <c r="BG265" s="141">
        <f t="shared" si="169"/>
        <v>0</v>
      </c>
      <c r="BH265" s="141">
        <f t="shared" si="170"/>
        <v>0</v>
      </c>
      <c r="BI265" s="141">
        <f t="shared" si="193"/>
        <v>0</v>
      </c>
      <c r="BJ265" s="147">
        <f t="shared" si="171"/>
        <v>0</v>
      </c>
      <c r="BK265" s="141">
        <f t="shared" si="172"/>
        <v>0</v>
      </c>
      <c r="BL265" s="141">
        <f t="shared" si="173"/>
        <v>0</v>
      </c>
      <c r="BM265" s="141">
        <f t="shared" si="174"/>
        <v>0</v>
      </c>
      <c r="BN265" s="141">
        <f t="shared" si="175"/>
        <v>0</v>
      </c>
      <c r="BO265" s="141">
        <f t="shared" si="176"/>
        <v>0</v>
      </c>
      <c r="BP265" s="141">
        <f t="shared" si="177"/>
        <v>0</v>
      </c>
      <c r="BT265" s="177"/>
      <c r="BU265" s="173"/>
      <c r="BV265" s="174"/>
      <c r="BW265" s="117"/>
      <c r="BX265" s="180"/>
      <c r="BY265" s="117"/>
      <c r="BZ265" s="181"/>
      <c r="CA265" s="182"/>
      <c r="CB265" s="176"/>
      <c r="CC265" s="176"/>
      <c r="CF265" s="170"/>
      <c r="CG265" s="171"/>
      <c r="CH265" s="170"/>
      <c r="CI265" s="171"/>
    </row>
    <row r="266" spans="2:87" s="108" customFormat="1" ht="15" hidden="1" customHeight="1">
      <c r="B266" s="109"/>
      <c r="C266" s="141" t="e">
        <f t="shared" si="195"/>
        <v>#NUM!</v>
      </c>
      <c r="D266" s="141">
        <f t="shared" si="154"/>
        <v>0</v>
      </c>
      <c r="E266" s="141"/>
      <c r="F266" s="142">
        <f t="shared" si="178"/>
        <v>0</v>
      </c>
      <c r="G266" s="143" t="s">
        <v>146</v>
      </c>
      <c r="H266" s="80">
        <f t="shared" si="155"/>
        <v>0</v>
      </c>
      <c r="I266" s="80" t="str">
        <f t="shared" si="179"/>
        <v/>
      </c>
      <c r="J266" s="144"/>
      <c r="K266" s="144"/>
      <c r="L266" s="144"/>
      <c r="M266" s="76"/>
      <c r="N266" s="77"/>
      <c r="O266" s="145"/>
      <c r="P266" s="77">
        <f t="shared" si="180"/>
        <v>0</v>
      </c>
      <c r="Q266" s="78"/>
      <c r="R266" s="79"/>
      <c r="S266" s="146">
        <f t="shared" si="196"/>
        <v>0</v>
      </c>
      <c r="T266" s="141" t="b">
        <f t="shared" si="194"/>
        <v>0</v>
      </c>
      <c r="U266" s="649">
        <f t="shared" si="156"/>
        <v>0</v>
      </c>
      <c r="V266" s="650"/>
      <c r="W266" s="649">
        <f t="shared" si="157"/>
        <v>0</v>
      </c>
      <c r="X266" s="650"/>
      <c r="Y266" s="649">
        <f t="shared" si="158"/>
        <v>0</v>
      </c>
      <c r="Z266" s="650"/>
      <c r="AA266" s="649">
        <f t="shared" si="159"/>
        <v>0</v>
      </c>
      <c r="AB266" s="650"/>
      <c r="AC266" s="649">
        <f t="shared" si="160"/>
        <v>0</v>
      </c>
      <c r="AD266" s="650"/>
      <c r="AE266" s="649">
        <f t="shared" si="161"/>
        <v>0</v>
      </c>
      <c r="AF266" s="650"/>
      <c r="AG266" s="649">
        <f t="shared" si="162"/>
        <v>0</v>
      </c>
      <c r="AH266" s="650"/>
      <c r="AI266" s="649">
        <f t="shared" si="163"/>
        <v>0</v>
      </c>
      <c r="AJ266" s="650"/>
      <c r="AK266" s="649">
        <f t="shared" si="164"/>
        <v>0</v>
      </c>
      <c r="AL266" s="650"/>
      <c r="AM266" s="649">
        <f t="shared" si="165"/>
        <v>0</v>
      </c>
      <c r="AN266" s="650"/>
      <c r="AO266" s="649">
        <f t="shared" si="166"/>
        <v>0</v>
      </c>
      <c r="AP266" s="650"/>
      <c r="AQ266" s="649">
        <f t="shared" si="167"/>
        <v>0</v>
      </c>
      <c r="AR266" s="650"/>
      <c r="AS266" s="651">
        <f t="shared" si="168"/>
        <v>0</v>
      </c>
      <c r="AT266" s="652"/>
      <c r="AU266" s="141">
        <f t="shared" si="181"/>
        <v>0</v>
      </c>
      <c r="AV266" s="141">
        <f t="shared" si="182"/>
        <v>0</v>
      </c>
      <c r="AW266" s="141">
        <f t="shared" si="183"/>
        <v>0</v>
      </c>
      <c r="AX266" s="141">
        <f t="shared" si="184"/>
        <v>0</v>
      </c>
      <c r="AY266" s="141">
        <f t="shared" si="185"/>
        <v>0</v>
      </c>
      <c r="AZ266" s="141">
        <f t="shared" si="186"/>
        <v>0</v>
      </c>
      <c r="BA266" s="141">
        <f t="shared" si="187"/>
        <v>0</v>
      </c>
      <c r="BB266" s="141">
        <f t="shared" si="188"/>
        <v>0</v>
      </c>
      <c r="BC266" s="141">
        <f t="shared" si="189"/>
        <v>0</v>
      </c>
      <c r="BD266" s="141">
        <f t="shared" si="190"/>
        <v>0</v>
      </c>
      <c r="BE266" s="141">
        <f t="shared" si="191"/>
        <v>0</v>
      </c>
      <c r="BF266" s="141">
        <f t="shared" si="192"/>
        <v>0</v>
      </c>
      <c r="BG266" s="141">
        <f t="shared" si="169"/>
        <v>0</v>
      </c>
      <c r="BH266" s="141">
        <f t="shared" si="170"/>
        <v>0</v>
      </c>
      <c r="BI266" s="141">
        <f t="shared" si="193"/>
        <v>0</v>
      </c>
      <c r="BJ266" s="147">
        <f t="shared" si="171"/>
        <v>0</v>
      </c>
      <c r="BK266" s="141">
        <f t="shared" si="172"/>
        <v>0</v>
      </c>
      <c r="BL266" s="141">
        <f t="shared" si="173"/>
        <v>0</v>
      </c>
      <c r="BM266" s="141">
        <f t="shared" si="174"/>
        <v>0</v>
      </c>
      <c r="BN266" s="141">
        <f t="shared" si="175"/>
        <v>0</v>
      </c>
      <c r="BO266" s="141">
        <f t="shared" si="176"/>
        <v>0</v>
      </c>
      <c r="BP266" s="141">
        <f t="shared" si="177"/>
        <v>0</v>
      </c>
      <c r="BT266" s="177"/>
      <c r="BU266" s="173"/>
      <c r="BV266" s="174"/>
      <c r="BW266" s="117"/>
      <c r="BX266" s="180"/>
      <c r="BY266" s="117"/>
      <c r="BZ266" s="181"/>
      <c r="CA266" s="182"/>
      <c r="CB266" s="176"/>
      <c r="CC266" s="176"/>
      <c r="CF266" s="170"/>
      <c r="CG266" s="171"/>
      <c r="CH266" s="170"/>
      <c r="CI266" s="171"/>
    </row>
    <row r="267" spans="2:87" s="108" customFormat="1" ht="15" hidden="1" customHeight="1">
      <c r="B267" s="109"/>
      <c r="C267" s="141" t="e">
        <f t="shared" si="195"/>
        <v>#NUM!</v>
      </c>
      <c r="D267" s="141">
        <f t="shared" si="154"/>
        <v>0</v>
      </c>
      <c r="E267" s="141" t="str">
        <f>IFERROR(DGET($BV$30:$CC$82,F267,G266:G267),"")</f>
        <v/>
      </c>
      <c r="F267" s="142">
        <f t="shared" si="178"/>
        <v>0</v>
      </c>
      <c r="G267" s="142" t="b">
        <f>IF(Q267&gt;0,IF(AND(S267&gt;0,S267&lt;2),CONCATENATE(Q267," ","0-2"),IF(AND(S267&gt;=2,S267&lt;8),CONCATENATE(Q267," ","2-8"),)))</f>
        <v>0</v>
      </c>
      <c r="H267" s="80">
        <f t="shared" si="155"/>
        <v>0</v>
      </c>
      <c r="I267" s="80" t="str">
        <f t="shared" si="179"/>
        <v/>
      </c>
      <c r="J267" s="76"/>
      <c r="K267" s="76"/>
      <c r="L267" s="76"/>
      <c r="M267" s="80"/>
      <c r="N267" s="79"/>
      <c r="O267" s="148"/>
      <c r="P267" s="77">
        <f t="shared" si="180"/>
        <v>0</v>
      </c>
      <c r="Q267" s="81"/>
      <c r="R267" s="77"/>
      <c r="S267" s="146">
        <f t="shared" si="196"/>
        <v>0</v>
      </c>
      <c r="T267" s="141" t="b">
        <f t="shared" si="194"/>
        <v>0</v>
      </c>
      <c r="U267" s="649">
        <f t="shared" si="156"/>
        <v>0</v>
      </c>
      <c r="V267" s="650"/>
      <c r="W267" s="649">
        <f t="shared" si="157"/>
        <v>0</v>
      </c>
      <c r="X267" s="650"/>
      <c r="Y267" s="649">
        <f t="shared" si="158"/>
        <v>0</v>
      </c>
      <c r="Z267" s="650"/>
      <c r="AA267" s="649">
        <f t="shared" si="159"/>
        <v>0</v>
      </c>
      <c r="AB267" s="650"/>
      <c r="AC267" s="649">
        <f t="shared" si="160"/>
        <v>0</v>
      </c>
      <c r="AD267" s="650"/>
      <c r="AE267" s="649">
        <f t="shared" si="161"/>
        <v>0</v>
      </c>
      <c r="AF267" s="650"/>
      <c r="AG267" s="649">
        <f t="shared" si="162"/>
        <v>0</v>
      </c>
      <c r="AH267" s="650"/>
      <c r="AI267" s="649">
        <f t="shared" si="163"/>
        <v>0</v>
      </c>
      <c r="AJ267" s="650"/>
      <c r="AK267" s="649">
        <f t="shared" si="164"/>
        <v>0</v>
      </c>
      <c r="AL267" s="650"/>
      <c r="AM267" s="649">
        <f t="shared" si="165"/>
        <v>0</v>
      </c>
      <c r="AN267" s="650"/>
      <c r="AO267" s="649">
        <f t="shared" si="166"/>
        <v>0</v>
      </c>
      <c r="AP267" s="650"/>
      <c r="AQ267" s="649">
        <f t="shared" si="167"/>
        <v>0</v>
      </c>
      <c r="AR267" s="650"/>
      <c r="AS267" s="651">
        <f t="shared" si="168"/>
        <v>0</v>
      </c>
      <c r="AT267" s="652"/>
      <c r="AU267" s="141">
        <f t="shared" si="181"/>
        <v>0</v>
      </c>
      <c r="AV267" s="141">
        <f t="shared" si="182"/>
        <v>0</v>
      </c>
      <c r="AW267" s="141">
        <f t="shared" si="183"/>
        <v>0</v>
      </c>
      <c r="AX267" s="141">
        <f t="shared" si="184"/>
        <v>0</v>
      </c>
      <c r="AY267" s="141">
        <f t="shared" si="185"/>
        <v>0</v>
      </c>
      <c r="AZ267" s="141">
        <f t="shared" si="186"/>
        <v>0</v>
      </c>
      <c r="BA267" s="141">
        <f t="shared" si="187"/>
        <v>0</v>
      </c>
      <c r="BB267" s="141">
        <f t="shared" si="188"/>
        <v>0</v>
      </c>
      <c r="BC267" s="141">
        <f t="shared" si="189"/>
        <v>0</v>
      </c>
      <c r="BD267" s="141">
        <f t="shared" si="190"/>
        <v>0</v>
      </c>
      <c r="BE267" s="141">
        <f t="shared" si="191"/>
        <v>0</v>
      </c>
      <c r="BF267" s="141">
        <f t="shared" si="192"/>
        <v>0</v>
      </c>
      <c r="BG267" s="141">
        <f t="shared" si="169"/>
        <v>0</v>
      </c>
      <c r="BH267" s="141">
        <f t="shared" si="170"/>
        <v>0</v>
      </c>
      <c r="BI267" s="141">
        <f t="shared" si="193"/>
        <v>0</v>
      </c>
      <c r="BJ267" s="147">
        <f t="shared" si="171"/>
        <v>0</v>
      </c>
      <c r="BK267" s="141">
        <f t="shared" si="172"/>
        <v>0</v>
      </c>
      <c r="BL267" s="141">
        <f t="shared" si="173"/>
        <v>0</v>
      </c>
      <c r="BM267" s="141">
        <f t="shared" si="174"/>
        <v>0</v>
      </c>
      <c r="BN267" s="141">
        <f t="shared" si="175"/>
        <v>0</v>
      </c>
      <c r="BO267" s="141">
        <f t="shared" si="176"/>
        <v>0</v>
      </c>
      <c r="BP267" s="141">
        <f t="shared" si="177"/>
        <v>0</v>
      </c>
      <c r="BT267" s="177"/>
      <c r="BU267" s="173"/>
      <c r="BV267" s="174"/>
      <c r="BW267" s="117"/>
      <c r="BX267" s="180"/>
      <c r="BY267" s="117"/>
      <c r="BZ267" s="181"/>
      <c r="CA267" s="182"/>
      <c r="CB267" s="176"/>
      <c r="CC267" s="176"/>
      <c r="CF267" s="170"/>
      <c r="CG267" s="171"/>
      <c r="CH267" s="170"/>
      <c r="CI267" s="171"/>
    </row>
    <row r="268" spans="2:87" s="108" customFormat="1" ht="15" hidden="1" customHeight="1">
      <c r="B268" s="109"/>
      <c r="C268" s="141" t="e">
        <f t="shared" si="195"/>
        <v>#NUM!</v>
      </c>
      <c r="D268" s="141">
        <f t="shared" si="154"/>
        <v>0</v>
      </c>
      <c r="E268" s="141"/>
      <c r="F268" s="142">
        <f t="shared" si="178"/>
        <v>0</v>
      </c>
      <c r="G268" s="143" t="s">
        <v>146</v>
      </c>
      <c r="H268" s="80">
        <f t="shared" si="155"/>
        <v>0</v>
      </c>
      <c r="I268" s="80" t="str">
        <f t="shared" si="179"/>
        <v/>
      </c>
      <c r="J268" s="144"/>
      <c r="K268" s="144"/>
      <c r="L268" s="144"/>
      <c r="M268" s="76"/>
      <c r="N268" s="77"/>
      <c r="O268" s="145"/>
      <c r="P268" s="77">
        <f t="shared" si="180"/>
        <v>0</v>
      </c>
      <c r="Q268" s="78"/>
      <c r="R268" s="79"/>
      <c r="S268" s="146">
        <f t="shared" si="196"/>
        <v>0</v>
      </c>
      <c r="T268" s="141" t="b">
        <f t="shared" si="194"/>
        <v>0</v>
      </c>
      <c r="U268" s="649">
        <f t="shared" si="156"/>
        <v>0</v>
      </c>
      <c r="V268" s="650"/>
      <c r="W268" s="649">
        <f t="shared" si="157"/>
        <v>0</v>
      </c>
      <c r="X268" s="650"/>
      <c r="Y268" s="649">
        <f t="shared" si="158"/>
        <v>0</v>
      </c>
      <c r="Z268" s="650"/>
      <c r="AA268" s="649">
        <f t="shared" si="159"/>
        <v>0</v>
      </c>
      <c r="AB268" s="650"/>
      <c r="AC268" s="649">
        <f t="shared" si="160"/>
        <v>0</v>
      </c>
      <c r="AD268" s="650"/>
      <c r="AE268" s="649">
        <f t="shared" si="161"/>
        <v>0</v>
      </c>
      <c r="AF268" s="650"/>
      <c r="AG268" s="649">
        <f t="shared" si="162"/>
        <v>0</v>
      </c>
      <c r="AH268" s="650"/>
      <c r="AI268" s="649">
        <f t="shared" si="163"/>
        <v>0</v>
      </c>
      <c r="AJ268" s="650"/>
      <c r="AK268" s="649">
        <f t="shared" si="164"/>
        <v>0</v>
      </c>
      <c r="AL268" s="650"/>
      <c r="AM268" s="649">
        <f t="shared" si="165"/>
        <v>0</v>
      </c>
      <c r="AN268" s="650"/>
      <c r="AO268" s="649">
        <f t="shared" si="166"/>
        <v>0</v>
      </c>
      <c r="AP268" s="650"/>
      <c r="AQ268" s="649">
        <f t="shared" si="167"/>
        <v>0</v>
      </c>
      <c r="AR268" s="650"/>
      <c r="AS268" s="651">
        <f t="shared" si="168"/>
        <v>0</v>
      </c>
      <c r="AT268" s="652"/>
      <c r="AU268" s="141">
        <f t="shared" si="181"/>
        <v>0</v>
      </c>
      <c r="AV268" s="141">
        <f t="shared" si="182"/>
        <v>0</v>
      </c>
      <c r="AW268" s="141">
        <f t="shared" si="183"/>
        <v>0</v>
      </c>
      <c r="AX268" s="141">
        <f t="shared" si="184"/>
        <v>0</v>
      </c>
      <c r="AY268" s="141">
        <f t="shared" si="185"/>
        <v>0</v>
      </c>
      <c r="AZ268" s="141">
        <f t="shared" si="186"/>
        <v>0</v>
      </c>
      <c r="BA268" s="141">
        <f t="shared" si="187"/>
        <v>0</v>
      </c>
      <c r="BB268" s="141">
        <f t="shared" si="188"/>
        <v>0</v>
      </c>
      <c r="BC268" s="141">
        <f t="shared" si="189"/>
        <v>0</v>
      </c>
      <c r="BD268" s="141">
        <f t="shared" si="190"/>
        <v>0</v>
      </c>
      <c r="BE268" s="141">
        <f t="shared" si="191"/>
        <v>0</v>
      </c>
      <c r="BF268" s="141">
        <f t="shared" si="192"/>
        <v>0</v>
      </c>
      <c r="BG268" s="141">
        <f t="shared" si="169"/>
        <v>0</v>
      </c>
      <c r="BH268" s="141">
        <f t="shared" si="170"/>
        <v>0</v>
      </c>
      <c r="BI268" s="141">
        <f t="shared" si="193"/>
        <v>0</v>
      </c>
      <c r="BJ268" s="147">
        <f t="shared" si="171"/>
        <v>0</v>
      </c>
      <c r="BK268" s="141">
        <f t="shared" si="172"/>
        <v>0</v>
      </c>
      <c r="BL268" s="141">
        <f t="shared" si="173"/>
        <v>0</v>
      </c>
      <c r="BM268" s="141">
        <f t="shared" si="174"/>
        <v>0</v>
      </c>
      <c r="BN268" s="141">
        <f t="shared" si="175"/>
        <v>0</v>
      </c>
      <c r="BO268" s="141">
        <f t="shared" si="176"/>
        <v>0</v>
      </c>
      <c r="BP268" s="141">
        <f t="shared" si="177"/>
        <v>0</v>
      </c>
      <c r="BT268" s="177"/>
      <c r="BU268" s="173"/>
      <c r="BV268" s="174"/>
      <c r="BW268" s="117"/>
      <c r="BX268" s="180"/>
      <c r="BY268" s="117"/>
      <c r="BZ268" s="181"/>
      <c r="CA268" s="182"/>
      <c r="CB268" s="176"/>
      <c r="CC268" s="176"/>
      <c r="CF268" s="170"/>
      <c r="CG268" s="171"/>
      <c r="CH268" s="170"/>
      <c r="CI268" s="171"/>
    </row>
    <row r="269" spans="2:87" s="108" customFormat="1" ht="15" hidden="1" customHeight="1">
      <c r="B269" s="109"/>
      <c r="C269" s="141" t="e">
        <f t="shared" si="195"/>
        <v>#NUM!</v>
      </c>
      <c r="D269" s="141">
        <f t="shared" si="154"/>
        <v>0</v>
      </c>
      <c r="E269" s="141" t="str">
        <f>IFERROR(DGET($BV$30:$CC$82,F269,G268:G269),"")</f>
        <v/>
      </c>
      <c r="F269" s="142">
        <f t="shared" si="178"/>
        <v>0</v>
      </c>
      <c r="G269" s="142" t="b">
        <f>IF(Q269&gt;0,IF(AND(S269&gt;0,S269&lt;2),CONCATENATE(Q269," ","0-2"),IF(AND(S269&gt;=2,S269&lt;8),CONCATENATE(Q269," ","2-8"),)))</f>
        <v>0</v>
      </c>
      <c r="H269" s="80">
        <f t="shared" si="155"/>
        <v>0</v>
      </c>
      <c r="I269" s="80" t="str">
        <f t="shared" si="179"/>
        <v/>
      </c>
      <c r="J269" s="76"/>
      <c r="K269" s="76"/>
      <c r="L269" s="76"/>
      <c r="M269" s="80"/>
      <c r="N269" s="79"/>
      <c r="O269" s="148"/>
      <c r="P269" s="77">
        <f t="shared" si="180"/>
        <v>0</v>
      </c>
      <c r="Q269" s="81"/>
      <c r="R269" s="77"/>
      <c r="S269" s="146">
        <f t="shared" si="196"/>
        <v>0</v>
      </c>
      <c r="T269" s="141" t="b">
        <f t="shared" si="194"/>
        <v>0</v>
      </c>
      <c r="U269" s="649">
        <f t="shared" si="156"/>
        <v>0</v>
      </c>
      <c r="V269" s="650"/>
      <c r="W269" s="649">
        <f t="shared" si="157"/>
        <v>0</v>
      </c>
      <c r="X269" s="650"/>
      <c r="Y269" s="649">
        <f t="shared" si="158"/>
        <v>0</v>
      </c>
      <c r="Z269" s="650"/>
      <c r="AA269" s="649">
        <f t="shared" si="159"/>
        <v>0</v>
      </c>
      <c r="AB269" s="650"/>
      <c r="AC269" s="649">
        <f t="shared" si="160"/>
        <v>0</v>
      </c>
      <c r="AD269" s="650"/>
      <c r="AE269" s="649">
        <f t="shared" si="161"/>
        <v>0</v>
      </c>
      <c r="AF269" s="650"/>
      <c r="AG269" s="649">
        <f t="shared" si="162"/>
        <v>0</v>
      </c>
      <c r="AH269" s="650"/>
      <c r="AI269" s="649">
        <f t="shared" si="163"/>
        <v>0</v>
      </c>
      <c r="AJ269" s="650"/>
      <c r="AK269" s="649">
        <f t="shared" si="164"/>
        <v>0</v>
      </c>
      <c r="AL269" s="650"/>
      <c r="AM269" s="649">
        <f t="shared" si="165"/>
        <v>0</v>
      </c>
      <c r="AN269" s="650"/>
      <c r="AO269" s="649">
        <f t="shared" si="166"/>
        <v>0</v>
      </c>
      <c r="AP269" s="650"/>
      <c r="AQ269" s="649">
        <f t="shared" si="167"/>
        <v>0</v>
      </c>
      <c r="AR269" s="650"/>
      <c r="AS269" s="651">
        <f t="shared" si="168"/>
        <v>0</v>
      </c>
      <c r="AT269" s="652"/>
      <c r="AU269" s="141">
        <f t="shared" si="181"/>
        <v>0</v>
      </c>
      <c r="AV269" s="141">
        <f t="shared" si="182"/>
        <v>0</v>
      </c>
      <c r="AW269" s="141">
        <f t="shared" si="183"/>
        <v>0</v>
      </c>
      <c r="AX269" s="141">
        <f t="shared" si="184"/>
        <v>0</v>
      </c>
      <c r="AY269" s="141">
        <f t="shared" si="185"/>
        <v>0</v>
      </c>
      <c r="AZ269" s="141">
        <f t="shared" si="186"/>
        <v>0</v>
      </c>
      <c r="BA269" s="141">
        <f t="shared" si="187"/>
        <v>0</v>
      </c>
      <c r="BB269" s="141">
        <f t="shared" si="188"/>
        <v>0</v>
      </c>
      <c r="BC269" s="141">
        <f t="shared" si="189"/>
        <v>0</v>
      </c>
      <c r="BD269" s="141">
        <f t="shared" si="190"/>
        <v>0</v>
      </c>
      <c r="BE269" s="141">
        <f t="shared" si="191"/>
        <v>0</v>
      </c>
      <c r="BF269" s="141">
        <f t="shared" si="192"/>
        <v>0</v>
      </c>
      <c r="BG269" s="141">
        <f t="shared" si="169"/>
        <v>0</v>
      </c>
      <c r="BH269" s="141">
        <f t="shared" si="170"/>
        <v>0</v>
      </c>
      <c r="BI269" s="141">
        <f t="shared" si="193"/>
        <v>0</v>
      </c>
      <c r="BJ269" s="147">
        <f t="shared" si="171"/>
        <v>0</v>
      </c>
      <c r="BK269" s="141">
        <f t="shared" si="172"/>
        <v>0</v>
      </c>
      <c r="BL269" s="141">
        <f t="shared" si="173"/>
        <v>0</v>
      </c>
      <c r="BM269" s="141">
        <f t="shared" si="174"/>
        <v>0</v>
      </c>
      <c r="BN269" s="141">
        <f t="shared" si="175"/>
        <v>0</v>
      </c>
      <c r="BO269" s="141">
        <f t="shared" si="176"/>
        <v>0</v>
      </c>
      <c r="BP269" s="141">
        <f t="shared" si="177"/>
        <v>0</v>
      </c>
      <c r="BT269" s="177"/>
      <c r="BU269" s="173"/>
      <c r="BV269" s="174"/>
      <c r="BW269" s="117"/>
      <c r="BX269" s="180"/>
      <c r="BY269" s="117"/>
      <c r="BZ269" s="181"/>
      <c r="CA269" s="182"/>
      <c r="CB269" s="176"/>
      <c r="CC269" s="176"/>
      <c r="CF269" s="170"/>
      <c r="CG269" s="171"/>
      <c r="CH269" s="170"/>
      <c r="CI269" s="171"/>
    </row>
    <row r="270" spans="2:87" s="108" customFormat="1" ht="15" hidden="1" customHeight="1">
      <c r="B270" s="109"/>
      <c r="C270" s="141" t="e">
        <f t="shared" si="195"/>
        <v>#NUM!</v>
      </c>
      <c r="D270" s="141">
        <f t="shared" si="154"/>
        <v>0</v>
      </c>
      <c r="E270" s="141"/>
      <c r="F270" s="142">
        <f t="shared" si="178"/>
        <v>0</v>
      </c>
      <c r="G270" s="143" t="s">
        <v>146</v>
      </c>
      <c r="H270" s="80">
        <f t="shared" si="155"/>
        <v>0</v>
      </c>
      <c r="I270" s="80" t="str">
        <f t="shared" si="179"/>
        <v/>
      </c>
      <c r="J270" s="144"/>
      <c r="K270" s="144"/>
      <c r="L270" s="144"/>
      <c r="M270" s="76"/>
      <c r="N270" s="77"/>
      <c r="O270" s="145"/>
      <c r="P270" s="77">
        <f t="shared" si="180"/>
        <v>0</v>
      </c>
      <c r="Q270" s="78"/>
      <c r="R270" s="79"/>
      <c r="S270" s="146">
        <f t="shared" si="196"/>
        <v>0</v>
      </c>
      <c r="T270" s="141" t="b">
        <f t="shared" si="194"/>
        <v>0</v>
      </c>
      <c r="U270" s="649">
        <f t="shared" si="156"/>
        <v>0</v>
      </c>
      <c r="V270" s="650"/>
      <c r="W270" s="649">
        <f t="shared" si="157"/>
        <v>0</v>
      </c>
      <c r="X270" s="650"/>
      <c r="Y270" s="649">
        <f t="shared" si="158"/>
        <v>0</v>
      </c>
      <c r="Z270" s="650"/>
      <c r="AA270" s="649">
        <f t="shared" si="159"/>
        <v>0</v>
      </c>
      <c r="AB270" s="650"/>
      <c r="AC270" s="649">
        <f t="shared" si="160"/>
        <v>0</v>
      </c>
      <c r="AD270" s="650"/>
      <c r="AE270" s="649">
        <f t="shared" si="161"/>
        <v>0</v>
      </c>
      <c r="AF270" s="650"/>
      <c r="AG270" s="649">
        <f t="shared" si="162"/>
        <v>0</v>
      </c>
      <c r="AH270" s="650"/>
      <c r="AI270" s="649">
        <f t="shared" si="163"/>
        <v>0</v>
      </c>
      <c r="AJ270" s="650"/>
      <c r="AK270" s="649">
        <f t="shared" si="164"/>
        <v>0</v>
      </c>
      <c r="AL270" s="650"/>
      <c r="AM270" s="649">
        <f t="shared" si="165"/>
        <v>0</v>
      </c>
      <c r="AN270" s="650"/>
      <c r="AO270" s="649">
        <f t="shared" si="166"/>
        <v>0</v>
      </c>
      <c r="AP270" s="650"/>
      <c r="AQ270" s="649">
        <f t="shared" si="167"/>
        <v>0</v>
      </c>
      <c r="AR270" s="650"/>
      <c r="AS270" s="651">
        <f t="shared" si="168"/>
        <v>0</v>
      </c>
      <c r="AT270" s="652"/>
      <c r="AU270" s="141">
        <f t="shared" si="181"/>
        <v>0</v>
      </c>
      <c r="AV270" s="141">
        <f t="shared" si="182"/>
        <v>0</v>
      </c>
      <c r="AW270" s="141">
        <f t="shared" si="183"/>
        <v>0</v>
      </c>
      <c r="AX270" s="141">
        <f t="shared" si="184"/>
        <v>0</v>
      </c>
      <c r="AY270" s="141">
        <f t="shared" si="185"/>
        <v>0</v>
      </c>
      <c r="AZ270" s="141">
        <f t="shared" si="186"/>
        <v>0</v>
      </c>
      <c r="BA270" s="141">
        <f t="shared" si="187"/>
        <v>0</v>
      </c>
      <c r="BB270" s="141">
        <f t="shared" si="188"/>
        <v>0</v>
      </c>
      <c r="BC270" s="141">
        <f t="shared" si="189"/>
        <v>0</v>
      </c>
      <c r="BD270" s="141">
        <f t="shared" si="190"/>
        <v>0</v>
      </c>
      <c r="BE270" s="141">
        <f t="shared" si="191"/>
        <v>0</v>
      </c>
      <c r="BF270" s="141">
        <f t="shared" si="192"/>
        <v>0</v>
      </c>
      <c r="BG270" s="141">
        <f t="shared" si="169"/>
        <v>0</v>
      </c>
      <c r="BH270" s="141">
        <f t="shared" si="170"/>
        <v>0</v>
      </c>
      <c r="BI270" s="141">
        <f t="shared" si="193"/>
        <v>0</v>
      </c>
      <c r="BJ270" s="147">
        <f t="shared" si="171"/>
        <v>0</v>
      </c>
      <c r="BK270" s="141">
        <f t="shared" si="172"/>
        <v>0</v>
      </c>
      <c r="BL270" s="141">
        <f t="shared" si="173"/>
        <v>0</v>
      </c>
      <c r="BM270" s="141">
        <f t="shared" si="174"/>
        <v>0</v>
      </c>
      <c r="BN270" s="141">
        <f t="shared" si="175"/>
        <v>0</v>
      </c>
      <c r="BO270" s="141">
        <f t="shared" si="176"/>
        <v>0</v>
      </c>
      <c r="BP270" s="141">
        <f t="shared" si="177"/>
        <v>0</v>
      </c>
      <c r="BT270" s="177"/>
      <c r="BU270" s="173"/>
      <c r="BV270" s="174"/>
      <c r="BW270" s="117"/>
      <c r="BX270" s="180"/>
      <c r="BY270" s="117"/>
      <c r="BZ270" s="181"/>
      <c r="CA270" s="182"/>
      <c r="CB270" s="176"/>
      <c r="CC270" s="176"/>
      <c r="CF270" s="170"/>
      <c r="CG270" s="171"/>
      <c r="CH270" s="170"/>
      <c r="CI270" s="171"/>
    </row>
    <row r="271" spans="2:87" s="108" customFormat="1" ht="15" hidden="1" customHeight="1">
      <c r="B271" s="109"/>
      <c r="C271" s="141" t="e">
        <f t="shared" si="195"/>
        <v>#NUM!</v>
      </c>
      <c r="D271" s="141">
        <f t="shared" si="154"/>
        <v>0</v>
      </c>
      <c r="E271" s="141" t="str">
        <f>IFERROR(DGET($BV$30:$CC$82,F271,G270:G271),"")</f>
        <v/>
      </c>
      <c r="F271" s="142">
        <f t="shared" si="178"/>
        <v>0</v>
      </c>
      <c r="G271" s="142" t="b">
        <f>IF(Q271&gt;0,IF(AND(S271&gt;0,S271&lt;2),CONCATENATE(Q271," ","0-2"),IF(AND(S271&gt;=2,S271&lt;8),CONCATENATE(Q271," ","2-8"),)))</f>
        <v>0</v>
      </c>
      <c r="H271" s="80">
        <f t="shared" si="155"/>
        <v>0</v>
      </c>
      <c r="I271" s="80" t="str">
        <f t="shared" si="179"/>
        <v/>
      </c>
      <c r="J271" s="76"/>
      <c r="K271" s="76"/>
      <c r="L271" s="76"/>
      <c r="M271" s="80"/>
      <c r="N271" s="79"/>
      <c r="O271" s="148"/>
      <c r="P271" s="77">
        <f t="shared" si="180"/>
        <v>0</v>
      </c>
      <c r="Q271" s="81"/>
      <c r="R271" s="77"/>
      <c r="S271" s="146">
        <f t="shared" si="196"/>
        <v>0</v>
      </c>
      <c r="T271" s="141" t="b">
        <f t="shared" si="194"/>
        <v>0</v>
      </c>
      <c r="U271" s="649">
        <f t="shared" si="156"/>
        <v>0</v>
      </c>
      <c r="V271" s="650"/>
      <c r="W271" s="649">
        <f t="shared" si="157"/>
        <v>0</v>
      </c>
      <c r="X271" s="650"/>
      <c r="Y271" s="649">
        <f t="shared" si="158"/>
        <v>0</v>
      </c>
      <c r="Z271" s="650"/>
      <c r="AA271" s="649">
        <f t="shared" si="159"/>
        <v>0</v>
      </c>
      <c r="AB271" s="650"/>
      <c r="AC271" s="649">
        <f t="shared" si="160"/>
        <v>0</v>
      </c>
      <c r="AD271" s="650"/>
      <c r="AE271" s="649">
        <f t="shared" si="161"/>
        <v>0</v>
      </c>
      <c r="AF271" s="650"/>
      <c r="AG271" s="649">
        <f t="shared" si="162"/>
        <v>0</v>
      </c>
      <c r="AH271" s="650"/>
      <c r="AI271" s="649">
        <f t="shared" si="163"/>
        <v>0</v>
      </c>
      <c r="AJ271" s="650"/>
      <c r="AK271" s="649">
        <f t="shared" si="164"/>
        <v>0</v>
      </c>
      <c r="AL271" s="650"/>
      <c r="AM271" s="649">
        <f t="shared" si="165"/>
        <v>0</v>
      </c>
      <c r="AN271" s="650"/>
      <c r="AO271" s="649">
        <f t="shared" si="166"/>
        <v>0</v>
      </c>
      <c r="AP271" s="650"/>
      <c r="AQ271" s="649">
        <f t="shared" si="167"/>
        <v>0</v>
      </c>
      <c r="AR271" s="650"/>
      <c r="AS271" s="651">
        <f t="shared" si="168"/>
        <v>0</v>
      </c>
      <c r="AT271" s="652"/>
      <c r="AU271" s="141">
        <f t="shared" si="181"/>
        <v>0</v>
      </c>
      <c r="AV271" s="141">
        <f t="shared" si="182"/>
        <v>0</v>
      </c>
      <c r="AW271" s="141">
        <f t="shared" si="183"/>
        <v>0</v>
      </c>
      <c r="AX271" s="141">
        <f t="shared" si="184"/>
        <v>0</v>
      </c>
      <c r="AY271" s="141">
        <f t="shared" si="185"/>
        <v>0</v>
      </c>
      <c r="AZ271" s="141">
        <f t="shared" si="186"/>
        <v>0</v>
      </c>
      <c r="BA271" s="141">
        <f t="shared" si="187"/>
        <v>0</v>
      </c>
      <c r="BB271" s="141">
        <f t="shared" si="188"/>
        <v>0</v>
      </c>
      <c r="BC271" s="141">
        <f t="shared" si="189"/>
        <v>0</v>
      </c>
      <c r="BD271" s="141">
        <f t="shared" si="190"/>
        <v>0</v>
      </c>
      <c r="BE271" s="141">
        <f t="shared" si="191"/>
        <v>0</v>
      </c>
      <c r="BF271" s="141">
        <f t="shared" si="192"/>
        <v>0</v>
      </c>
      <c r="BG271" s="141">
        <f t="shared" si="169"/>
        <v>0</v>
      </c>
      <c r="BH271" s="141">
        <f t="shared" si="170"/>
        <v>0</v>
      </c>
      <c r="BI271" s="141">
        <f t="shared" si="193"/>
        <v>0</v>
      </c>
      <c r="BJ271" s="147">
        <f t="shared" si="171"/>
        <v>0</v>
      </c>
      <c r="BK271" s="141">
        <f t="shared" si="172"/>
        <v>0</v>
      </c>
      <c r="BL271" s="141">
        <f t="shared" si="173"/>
        <v>0</v>
      </c>
      <c r="BM271" s="141">
        <f t="shared" si="174"/>
        <v>0</v>
      </c>
      <c r="BN271" s="141">
        <f t="shared" si="175"/>
        <v>0</v>
      </c>
      <c r="BO271" s="141">
        <f t="shared" si="176"/>
        <v>0</v>
      </c>
      <c r="BP271" s="141">
        <f t="shared" si="177"/>
        <v>0</v>
      </c>
      <c r="BT271" s="177"/>
      <c r="BU271" s="173"/>
      <c r="BV271" s="174"/>
      <c r="BW271" s="117"/>
      <c r="BX271" s="180"/>
      <c r="BY271" s="117"/>
      <c r="BZ271" s="181"/>
      <c r="CA271" s="182"/>
      <c r="CB271" s="176"/>
      <c r="CC271" s="176"/>
      <c r="CF271" s="170"/>
      <c r="CG271" s="171"/>
      <c r="CH271" s="170"/>
      <c r="CI271" s="171"/>
    </row>
    <row r="272" spans="2:87" s="108" customFormat="1" ht="15" hidden="1" customHeight="1">
      <c r="B272" s="109"/>
      <c r="C272" s="141" t="e">
        <f t="shared" si="195"/>
        <v>#NUM!</v>
      </c>
      <c r="D272" s="141">
        <f t="shared" si="154"/>
        <v>0</v>
      </c>
      <c r="E272" s="141"/>
      <c r="F272" s="142">
        <f t="shared" si="178"/>
        <v>0</v>
      </c>
      <c r="G272" s="143" t="s">
        <v>146</v>
      </c>
      <c r="H272" s="80">
        <f t="shared" si="155"/>
        <v>0</v>
      </c>
      <c r="I272" s="80" t="str">
        <f t="shared" si="179"/>
        <v/>
      </c>
      <c r="J272" s="144"/>
      <c r="K272" s="144"/>
      <c r="L272" s="144"/>
      <c r="M272" s="76"/>
      <c r="N272" s="77"/>
      <c r="O272" s="145"/>
      <c r="P272" s="77">
        <f t="shared" si="180"/>
        <v>0</v>
      </c>
      <c r="Q272" s="78"/>
      <c r="R272" s="79"/>
      <c r="S272" s="146">
        <f t="shared" si="196"/>
        <v>0</v>
      </c>
      <c r="T272" s="141" t="b">
        <f t="shared" si="194"/>
        <v>0</v>
      </c>
      <c r="U272" s="649">
        <f t="shared" si="156"/>
        <v>0</v>
      </c>
      <c r="V272" s="650"/>
      <c r="W272" s="649">
        <f t="shared" si="157"/>
        <v>0</v>
      </c>
      <c r="X272" s="650"/>
      <c r="Y272" s="649">
        <f t="shared" si="158"/>
        <v>0</v>
      </c>
      <c r="Z272" s="650"/>
      <c r="AA272" s="649">
        <f t="shared" si="159"/>
        <v>0</v>
      </c>
      <c r="AB272" s="650"/>
      <c r="AC272" s="649">
        <f t="shared" si="160"/>
        <v>0</v>
      </c>
      <c r="AD272" s="650"/>
      <c r="AE272" s="649">
        <f t="shared" si="161"/>
        <v>0</v>
      </c>
      <c r="AF272" s="650"/>
      <c r="AG272" s="649">
        <f t="shared" si="162"/>
        <v>0</v>
      </c>
      <c r="AH272" s="650"/>
      <c r="AI272" s="649">
        <f t="shared" si="163"/>
        <v>0</v>
      </c>
      <c r="AJ272" s="650"/>
      <c r="AK272" s="649">
        <f t="shared" si="164"/>
        <v>0</v>
      </c>
      <c r="AL272" s="650"/>
      <c r="AM272" s="649">
        <f t="shared" si="165"/>
        <v>0</v>
      </c>
      <c r="AN272" s="650"/>
      <c r="AO272" s="649">
        <f t="shared" si="166"/>
        <v>0</v>
      </c>
      <c r="AP272" s="650"/>
      <c r="AQ272" s="649">
        <f t="shared" si="167"/>
        <v>0</v>
      </c>
      <c r="AR272" s="650"/>
      <c r="AS272" s="651">
        <f t="shared" si="168"/>
        <v>0</v>
      </c>
      <c r="AT272" s="652"/>
      <c r="AU272" s="141">
        <f t="shared" si="181"/>
        <v>0</v>
      </c>
      <c r="AV272" s="141">
        <f t="shared" si="182"/>
        <v>0</v>
      </c>
      <c r="AW272" s="141">
        <f t="shared" si="183"/>
        <v>0</v>
      </c>
      <c r="AX272" s="141">
        <f t="shared" si="184"/>
        <v>0</v>
      </c>
      <c r="AY272" s="141">
        <f t="shared" si="185"/>
        <v>0</v>
      </c>
      <c r="AZ272" s="141">
        <f t="shared" si="186"/>
        <v>0</v>
      </c>
      <c r="BA272" s="141">
        <f t="shared" si="187"/>
        <v>0</v>
      </c>
      <c r="BB272" s="141">
        <f t="shared" si="188"/>
        <v>0</v>
      </c>
      <c r="BC272" s="141">
        <f t="shared" si="189"/>
        <v>0</v>
      </c>
      <c r="BD272" s="141">
        <f t="shared" si="190"/>
        <v>0</v>
      </c>
      <c r="BE272" s="141">
        <f t="shared" si="191"/>
        <v>0</v>
      </c>
      <c r="BF272" s="141">
        <f t="shared" si="192"/>
        <v>0</v>
      </c>
      <c r="BG272" s="141">
        <f t="shared" si="169"/>
        <v>0</v>
      </c>
      <c r="BH272" s="141">
        <f t="shared" si="170"/>
        <v>0</v>
      </c>
      <c r="BI272" s="141">
        <f t="shared" si="193"/>
        <v>0</v>
      </c>
      <c r="BJ272" s="147">
        <f t="shared" si="171"/>
        <v>0</v>
      </c>
      <c r="BK272" s="141">
        <f t="shared" si="172"/>
        <v>0</v>
      </c>
      <c r="BL272" s="141">
        <f t="shared" si="173"/>
        <v>0</v>
      </c>
      <c r="BM272" s="141">
        <f t="shared" si="174"/>
        <v>0</v>
      </c>
      <c r="BN272" s="141">
        <f t="shared" si="175"/>
        <v>0</v>
      </c>
      <c r="BO272" s="141">
        <f t="shared" si="176"/>
        <v>0</v>
      </c>
      <c r="BP272" s="141">
        <f t="shared" si="177"/>
        <v>0</v>
      </c>
      <c r="BT272" s="177"/>
      <c r="BU272" s="173"/>
      <c r="BV272" s="174"/>
      <c r="BW272" s="117"/>
      <c r="BX272" s="180"/>
      <c r="BY272" s="117"/>
      <c r="BZ272" s="181"/>
      <c r="CA272" s="182"/>
      <c r="CB272" s="176"/>
      <c r="CC272" s="176"/>
      <c r="CF272" s="170"/>
      <c r="CG272" s="171"/>
      <c r="CH272" s="170"/>
      <c r="CI272" s="171"/>
    </row>
    <row r="273" spans="2:87" s="108" customFormat="1" ht="15" hidden="1" customHeight="1">
      <c r="B273" s="109"/>
      <c r="C273" s="141" t="e">
        <f t="shared" si="195"/>
        <v>#NUM!</v>
      </c>
      <c r="D273" s="141">
        <f t="shared" si="154"/>
        <v>0</v>
      </c>
      <c r="E273" s="141" t="str">
        <f>IFERROR(DGET($BV$30:$CC$82,F273,G272:G273),"")</f>
        <v/>
      </c>
      <c r="F273" s="142">
        <f t="shared" si="178"/>
        <v>0</v>
      </c>
      <c r="G273" s="142" t="b">
        <f>IF(Q273&gt;0,IF(AND(S273&gt;0,S273&lt;2),CONCATENATE(Q273," ","0-2"),IF(AND(S273&gt;=2,S273&lt;8),CONCATENATE(Q273," ","2-8"),)))</f>
        <v>0</v>
      </c>
      <c r="H273" s="80">
        <f t="shared" si="155"/>
        <v>0</v>
      </c>
      <c r="I273" s="80" t="str">
        <f t="shared" si="179"/>
        <v/>
      </c>
      <c r="J273" s="76"/>
      <c r="K273" s="76"/>
      <c r="L273" s="76"/>
      <c r="M273" s="80"/>
      <c r="N273" s="79"/>
      <c r="O273" s="148"/>
      <c r="P273" s="77">
        <f t="shared" si="180"/>
        <v>0</v>
      </c>
      <c r="Q273" s="81"/>
      <c r="R273" s="77"/>
      <c r="S273" s="146">
        <f t="shared" si="196"/>
        <v>0</v>
      </c>
      <c r="T273" s="141" t="b">
        <f t="shared" si="194"/>
        <v>0</v>
      </c>
      <c r="U273" s="649">
        <f t="shared" si="156"/>
        <v>0</v>
      </c>
      <c r="V273" s="650"/>
      <c r="W273" s="649">
        <f t="shared" si="157"/>
        <v>0</v>
      </c>
      <c r="X273" s="650"/>
      <c r="Y273" s="649">
        <f t="shared" si="158"/>
        <v>0</v>
      </c>
      <c r="Z273" s="650"/>
      <c r="AA273" s="649">
        <f t="shared" si="159"/>
        <v>0</v>
      </c>
      <c r="AB273" s="650"/>
      <c r="AC273" s="649">
        <f t="shared" si="160"/>
        <v>0</v>
      </c>
      <c r="AD273" s="650"/>
      <c r="AE273" s="649">
        <f t="shared" si="161"/>
        <v>0</v>
      </c>
      <c r="AF273" s="650"/>
      <c r="AG273" s="649">
        <f t="shared" si="162"/>
        <v>0</v>
      </c>
      <c r="AH273" s="650"/>
      <c r="AI273" s="649">
        <f t="shared" si="163"/>
        <v>0</v>
      </c>
      <c r="AJ273" s="650"/>
      <c r="AK273" s="649">
        <f t="shared" si="164"/>
        <v>0</v>
      </c>
      <c r="AL273" s="650"/>
      <c r="AM273" s="649">
        <f t="shared" si="165"/>
        <v>0</v>
      </c>
      <c r="AN273" s="650"/>
      <c r="AO273" s="649">
        <f t="shared" si="166"/>
        <v>0</v>
      </c>
      <c r="AP273" s="650"/>
      <c r="AQ273" s="649">
        <f t="shared" si="167"/>
        <v>0</v>
      </c>
      <c r="AR273" s="650"/>
      <c r="AS273" s="651">
        <f t="shared" si="168"/>
        <v>0</v>
      </c>
      <c r="AT273" s="652"/>
      <c r="AU273" s="141">
        <f t="shared" si="181"/>
        <v>0</v>
      </c>
      <c r="AV273" s="141">
        <f t="shared" si="182"/>
        <v>0</v>
      </c>
      <c r="AW273" s="141">
        <f t="shared" si="183"/>
        <v>0</v>
      </c>
      <c r="AX273" s="141">
        <f t="shared" si="184"/>
        <v>0</v>
      </c>
      <c r="AY273" s="141">
        <f t="shared" si="185"/>
        <v>0</v>
      </c>
      <c r="AZ273" s="141">
        <f t="shared" si="186"/>
        <v>0</v>
      </c>
      <c r="BA273" s="141">
        <f t="shared" si="187"/>
        <v>0</v>
      </c>
      <c r="BB273" s="141">
        <f t="shared" si="188"/>
        <v>0</v>
      </c>
      <c r="BC273" s="141">
        <f t="shared" si="189"/>
        <v>0</v>
      </c>
      <c r="BD273" s="141">
        <f t="shared" si="190"/>
        <v>0</v>
      </c>
      <c r="BE273" s="141">
        <f t="shared" si="191"/>
        <v>0</v>
      </c>
      <c r="BF273" s="141">
        <f t="shared" si="192"/>
        <v>0</v>
      </c>
      <c r="BG273" s="141">
        <f t="shared" si="169"/>
        <v>0</v>
      </c>
      <c r="BH273" s="141">
        <f t="shared" si="170"/>
        <v>0</v>
      </c>
      <c r="BI273" s="141">
        <f t="shared" si="193"/>
        <v>0</v>
      </c>
      <c r="BJ273" s="147">
        <f t="shared" si="171"/>
        <v>0</v>
      </c>
      <c r="BK273" s="141">
        <f t="shared" si="172"/>
        <v>0</v>
      </c>
      <c r="BL273" s="141">
        <f t="shared" si="173"/>
        <v>0</v>
      </c>
      <c r="BM273" s="141">
        <f t="shared" si="174"/>
        <v>0</v>
      </c>
      <c r="BN273" s="141">
        <f t="shared" si="175"/>
        <v>0</v>
      </c>
      <c r="BO273" s="141">
        <f t="shared" si="176"/>
        <v>0</v>
      </c>
      <c r="BP273" s="141">
        <f t="shared" si="177"/>
        <v>0</v>
      </c>
      <c r="BT273" s="177"/>
      <c r="BU273" s="173"/>
      <c r="BV273" s="174"/>
      <c r="BW273" s="117"/>
      <c r="BX273" s="180"/>
      <c r="BY273" s="117"/>
      <c r="BZ273" s="181"/>
      <c r="CA273" s="182"/>
      <c r="CB273" s="176"/>
      <c r="CC273" s="176"/>
      <c r="CF273" s="170"/>
      <c r="CG273" s="171"/>
      <c r="CH273" s="170"/>
      <c r="CI273" s="171"/>
    </row>
    <row r="274" spans="2:87" s="108" customFormat="1" ht="15" hidden="1" customHeight="1">
      <c r="B274" s="109"/>
      <c r="C274" s="141" t="e">
        <f t="shared" si="195"/>
        <v>#NUM!</v>
      </c>
      <c r="D274" s="141">
        <f t="shared" si="154"/>
        <v>0</v>
      </c>
      <c r="E274" s="141"/>
      <c r="F274" s="142">
        <f t="shared" si="178"/>
        <v>0</v>
      </c>
      <c r="G274" s="143" t="s">
        <v>146</v>
      </c>
      <c r="H274" s="80">
        <f t="shared" si="155"/>
        <v>0</v>
      </c>
      <c r="I274" s="80" t="str">
        <f t="shared" si="179"/>
        <v/>
      </c>
      <c r="J274" s="144"/>
      <c r="K274" s="144"/>
      <c r="L274" s="144"/>
      <c r="M274" s="76"/>
      <c r="N274" s="77"/>
      <c r="O274" s="145"/>
      <c r="P274" s="77">
        <f t="shared" si="180"/>
        <v>0</v>
      </c>
      <c r="Q274" s="78"/>
      <c r="R274" s="79"/>
      <c r="S274" s="146">
        <f t="shared" si="196"/>
        <v>0</v>
      </c>
      <c r="T274" s="141" t="b">
        <f t="shared" si="194"/>
        <v>0</v>
      </c>
      <c r="U274" s="649">
        <f t="shared" si="156"/>
        <v>0</v>
      </c>
      <c r="V274" s="650"/>
      <c r="W274" s="649">
        <f t="shared" si="157"/>
        <v>0</v>
      </c>
      <c r="X274" s="650"/>
      <c r="Y274" s="649">
        <f t="shared" si="158"/>
        <v>0</v>
      </c>
      <c r="Z274" s="650"/>
      <c r="AA274" s="649">
        <f t="shared" si="159"/>
        <v>0</v>
      </c>
      <c r="AB274" s="650"/>
      <c r="AC274" s="649">
        <f t="shared" si="160"/>
        <v>0</v>
      </c>
      <c r="AD274" s="650"/>
      <c r="AE274" s="649">
        <f t="shared" si="161"/>
        <v>0</v>
      </c>
      <c r="AF274" s="650"/>
      <c r="AG274" s="649">
        <f t="shared" si="162"/>
        <v>0</v>
      </c>
      <c r="AH274" s="650"/>
      <c r="AI274" s="649">
        <f t="shared" si="163"/>
        <v>0</v>
      </c>
      <c r="AJ274" s="650"/>
      <c r="AK274" s="649">
        <f t="shared" si="164"/>
        <v>0</v>
      </c>
      <c r="AL274" s="650"/>
      <c r="AM274" s="649">
        <f t="shared" si="165"/>
        <v>0</v>
      </c>
      <c r="AN274" s="650"/>
      <c r="AO274" s="649">
        <f t="shared" si="166"/>
        <v>0</v>
      </c>
      <c r="AP274" s="650"/>
      <c r="AQ274" s="649">
        <f t="shared" si="167"/>
        <v>0</v>
      </c>
      <c r="AR274" s="650"/>
      <c r="AS274" s="651">
        <f t="shared" si="168"/>
        <v>0</v>
      </c>
      <c r="AT274" s="652"/>
      <c r="AU274" s="141">
        <f t="shared" si="181"/>
        <v>0</v>
      </c>
      <c r="AV274" s="141">
        <f t="shared" si="182"/>
        <v>0</v>
      </c>
      <c r="AW274" s="141">
        <f t="shared" si="183"/>
        <v>0</v>
      </c>
      <c r="AX274" s="141">
        <f t="shared" si="184"/>
        <v>0</v>
      </c>
      <c r="AY274" s="141">
        <f t="shared" si="185"/>
        <v>0</v>
      </c>
      <c r="AZ274" s="141">
        <f t="shared" si="186"/>
        <v>0</v>
      </c>
      <c r="BA274" s="141">
        <f t="shared" si="187"/>
        <v>0</v>
      </c>
      <c r="BB274" s="141">
        <f t="shared" si="188"/>
        <v>0</v>
      </c>
      <c r="BC274" s="141">
        <f t="shared" si="189"/>
        <v>0</v>
      </c>
      <c r="BD274" s="141">
        <f t="shared" si="190"/>
        <v>0</v>
      </c>
      <c r="BE274" s="141">
        <f t="shared" si="191"/>
        <v>0</v>
      </c>
      <c r="BF274" s="141">
        <f t="shared" si="192"/>
        <v>0</v>
      </c>
      <c r="BG274" s="141">
        <f t="shared" si="169"/>
        <v>0</v>
      </c>
      <c r="BH274" s="141">
        <f t="shared" si="170"/>
        <v>0</v>
      </c>
      <c r="BI274" s="141">
        <f t="shared" si="193"/>
        <v>0</v>
      </c>
      <c r="BJ274" s="147">
        <f t="shared" si="171"/>
        <v>0</v>
      </c>
      <c r="BK274" s="141">
        <f t="shared" si="172"/>
        <v>0</v>
      </c>
      <c r="BL274" s="141">
        <f t="shared" si="173"/>
        <v>0</v>
      </c>
      <c r="BM274" s="141">
        <f t="shared" si="174"/>
        <v>0</v>
      </c>
      <c r="BN274" s="141">
        <f t="shared" si="175"/>
        <v>0</v>
      </c>
      <c r="BO274" s="141">
        <f t="shared" si="176"/>
        <v>0</v>
      </c>
      <c r="BP274" s="141">
        <f t="shared" si="177"/>
        <v>0</v>
      </c>
      <c r="BT274" s="177"/>
      <c r="BU274" s="173"/>
      <c r="BV274" s="174"/>
      <c r="BW274" s="117"/>
      <c r="BX274" s="180"/>
      <c r="BY274" s="117"/>
      <c r="BZ274" s="181"/>
      <c r="CA274" s="182"/>
      <c r="CB274" s="176"/>
      <c r="CC274" s="176"/>
      <c r="CF274" s="170"/>
      <c r="CG274" s="171"/>
      <c r="CH274" s="170"/>
      <c r="CI274" s="171"/>
    </row>
    <row r="275" spans="2:87" s="108" customFormat="1" ht="15" hidden="1" customHeight="1">
      <c r="B275" s="109"/>
      <c r="C275" s="141" t="e">
        <f t="shared" si="195"/>
        <v>#NUM!</v>
      </c>
      <c r="D275" s="141">
        <f t="shared" si="154"/>
        <v>0</v>
      </c>
      <c r="E275" s="141" t="str">
        <f>IFERROR(DGET($BV$30:$CC$82,F275,G274:G275),"")</f>
        <v/>
      </c>
      <c r="F275" s="142">
        <f t="shared" si="178"/>
        <v>0</v>
      </c>
      <c r="G275" s="142" t="b">
        <f>IF(Q275&gt;0,IF(AND(S275&gt;0,S275&lt;2),CONCATENATE(Q275," ","0-2"),IF(AND(S275&gt;=2,S275&lt;8),CONCATENATE(Q275," ","2-8"),)))</f>
        <v>0</v>
      </c>
      <c r="H275" s="80">
        <f t="shared" si="155"/>
        <v>0</v>
      </c>
      <c r="I275" s="80" t="str">
        <f t="shared" si="179"/>
        <v/>
      </c>
      <c r="J275" s="76"/>
      <c r="K275" s="76"/>
      <c r="L275" s="76"/>
      <c r="M275" s="80"/>
      <c r="N275" s="79"/>
      <c r="O275" s="148"/>
      <c r="P275" s="77">
        <f t="shared" si="180"/>
        <v>0</v>
      </c>
      <c r="Q275" s="81"/>
      <c r="R275" s="77"/>
      <c r="S275" s="146">
        <f t="shared" si="196"/>
        <v>0</v>
      </c>
      <c r="T275" s="141" t="b">
        <f t="shared" si="194"/>
        <v>0</v>
      </c>
      <c r="U275" s="649">
        <f t="shared" si="156"/>
        <v>0</v>
      </c>
      <c r="V275" s="650"/>
      <c r="W275" s="649">
        <f t="shared" si="157"/>
        <v>0</v>
      </c>
      <c r="X275" s="650"/>
      <c r="Y275" s="649">
        <f t="shared" si="158"/>
        <v>0</v>
      </c>
      <c r="Z275" s="650"/>
      <c r="AA275" s="649">
        <f t="shared" si="159"/>
        <v>0</v>
      </c>
      <c r="AB275" s="650"/>
      <c r="AC275" s="649">
        <f t="shared" si="160"/>
        <v>0</v>
      </c>
      <c r="AD275" s="650"/>
      <c r="AE275" s="649">
        <f t="shared" si="161"/>
        <v>0</v>
      </c>
      <c r="AF275" s="650"/>
      <c r="AG275" s="649">
        <f t="shared" si="162"/>
        <v>0</v>
      </c>
      <c r="AH275" s="650"/>
      <c r="AI275" s="649">
        <f t="shared" si="163"/>
        <v>0</v>
      </c>
      <c r="AJ275" s="650"/>
      <c r="AK275" s="649">
        <f t="shared" si="164"/>
        <v>0</v>
      </c>
      <c r="AL275" s="650"/>
      <c r="AM275" s="649">
        <f t="shared" si="165"/>
        <v>0</v>
      </c>
      <c r="AN275" s="650"/>
      <c r="AO275" s="649">
        <f t="shared" si="166"/>
        <v>0</v>
      </c>
      <c r="AP275" s="650"/>
      <c r="AQ275" s="649">
        <f t="shared" si="167"/>
        <v>0</v>
      </c>
      <c r="AR275" s="650"/>
      <c r="AS275" s="651">
        <f t="shared" si="168"/>
        <v>0</v>
      </c>
      <c r="AT275" s="652"/>
      <c r="AU275" s="141">
        <f t="shared" si="181"/>
        <v>0</v>
      </c>
      <c r="AV275" s="141">
        <f t="shared" si="182"/>
        <v>0</v>
      </c>
      <c r="AW275" s="141">
        <f t="shared" si="183"/>
        <v>0</v>
      </c>
      <c r="AX275" s="141">
        <f t="shared" si="184"/>
        <v>0</v>
      </c>
      <c r="AY275" s="141">
        <f t="shared" si="185"/>
        <v>0</v>
      </c>
      <c r="AZ275" s="141">
        <f t="shared" si="186"/>
        <v>0</v>
      </c>
      <c r="BA275" s="141">
        <f t="shared" si="187"/>
        <v>0</v>
      </c>
      <c r="BB275" s="141">
        <f t="shared" si="188"/>
        <v>0</v>
      </c>
      <c r="BC275" s="141">
        <f t="shared" si="189"/>
        <v>0</v>
      </c>
      <c r="BD275" s="141">
        <f t="shared" si="190"/>
        <v>0</v>
      </c>
      <c r="BE275" s="141">
        <f t="shared" si="191"/>
        <v>0</v>
      </c>
      <c r="BF275" s="141">
        <f t="shared" si="192"/>
        <v>0</v>
      </c>
      <c r="BG275" s="141">
        <f t="shared" si="169"/>
        <v>0</v>
      </c>
      <c r="BH275" s="141">
        <f t="shared" si="170"/>
        <v>0</v>
      </c>
      <c r="BI275" s="141">
        <f t="shared" si="193"/>
        <v>0</v>
      </c>
      <c r="BJ275" s="147">
        <f t="shared" si="171"/>
        <v>0</v>
      </c>
      <c r="BK275" s="141">
        <f t="shared" si="172"/>
        <v>0</v>
      </c>
      <c r="BL275" s="141">
        <f t="shared" si="173"/>
        <v>0</v>
      </c>
      <c r="BM275" s="141">
        <f t="shared" si="174"/>
        <v>0</v>
      </c>
      <c r="BN275" s="141">
        <f t="shared" si="175"/>
        <v>0</v>
      </c>
      <c r="BO275" s="141">
        <f t="shared" si="176"/>
        <v>0</v>
      </c>
      <c r="BP275" s="141">
        <f t="shared" si="177"/>
        <v>0</v>
      </c>
      <c r="BT275" s="177"/>
      <c r="BU275" s="173"/>
      <c r="BV275" s="174"/>
      <c r="BW275" s="117"/>
      <c r="BX275" s="180"/>
      <c r="BY275" s="117"/>
      <c r="BZ275" s="181"/>
      <c r="CA275" s="182"/>
      <c r="CB275" s="176"/>
      <c r="CC275" s="176"/>
      <c r="CF275" s="170"/>
      <c r="CG275" s="171"/>
      <c r="CH275" s="170"/>
      <c r="CI275" s="171"/>
    </row>
    <row r="276" spans="2:87" s="108" customFormat="1" ht="15" hidden="1" customHeight="1">
      <c r="B276" s="109"/>
      <c r="C276" s="141" t="e">
        <f t="shared" si="195"/>
        <v>#NUM!</v>
      </c>
      <c r="D276" s="141">
        <f t="shared" si="154"/>
        <v>0</v>
      </c>
      <c r="E276" s="141"/>
      <c r="F276" s="142">
        <f t="shared" si="178"/>
        <v>0</v>
      </c>
      <c r="G276" s="143" t="s">
        <v>146</v>
      </c>
      <c r="H276" s="80">
        <f t="shared" si="155"/>
        <v>0</v>
      </c>
      <c r="I276" s="80" t="str">
        <f t="shared" si="179"/>
        <v/>
      </c>
      <c r="J276" s="144"/>
      <c r="K276" s="144"/>
      <c r="L276" s="144"/>
      <c r="M276" s="76"/>
      <c r="N276" s="77"/>
      <c r="O276" s="145"/>
      <c r="P276" s="77">
        <f t="shared" si="180"/>
        <v>0</v>
      </c>
      <c r="Q276" s="78"/>
      <c r="R276" s="79"/>
      <c r="S276" s="146">
        <f t="shared" si="196"/>
        <v>0</v>
      </c>
      <c r="T276" s="141" t="b">
        <f t="shared" si="194"/>
        <v>0</v>
      </c>
      <c r="U276" s="649">
        <f t="shared" si="156"/>
        <v>0</v>
      </c>
      <c r="V276" s="650"/>
      <c r="W276" s="649">
        <f t="shared" si="157"/>
        <v>0</v>
      </c>
      <c r="X276" s="650"/>
      <c r="Y276" s="649">
        <f t="shared" si="158"/>
        <v>0</v>
      </c>
      <c r="Z276" s="650"/>
      <c r="AA276" s="649">
        <f t="shared" si="159"/>
        <v>0</v>
      </c>
      <c r="AB276" s="650"/>
      <c r="AC276" s="649">
        <f t="shared" si="160"/>
        <v>0</v>
      </c>
      <c r="AD276" s="650"/>
      <c r="AE276" s="649">
        <f t="shared" si="161"/>
        <v>0</v>
      </c>
      <c r="AF276" s="650"/>
      <c r="AG276" s="649">
        <f t="shared" si="162"/>
        <v>0</v>
      </c>
      <c r="AH276" s="650"/>
      <c r="AI276" s="649">
        <f t="shared" si="163"/>
        <v>0</v>
      </c>
      <c r="AJ276" s="650"/>
      <c r="AK276" s="649">
        <f t="shared" si="164"/>
        <v>0</v>
      </c>
      <c r="AL276" s="650"/>
      <c r="AM276" s="649">
        <f t="shared" si="165"/>
        <v>0</v>
      </c>
      <c r="AN276" s="650"/>
      <c r="AO276" s="649">
        <f t="shared" si="166"/>
        <v>0</v>
      </c>
      <c r="AP276" s="650"/>
      <c r="AQ276" s="649">
        <f t="shared" si="167"/>
        <v>0</v>
      </c>
      <c r="AR276" s="650"/>
      <c r="AS276" s="651">
        <f t="shared" si="168"/>
        <v>0</v>
      </c>
      <c r="AT276" s="652"/>
      <c r="AU276" s="141">
        <f t="shared" si="181"/>
        <v>0</v>
      </c>
      <c r="AV276" s="141">
        <f t="shared" si="182"/>
        <v>0</v>
      </c>
      <c r="AW276" s="141">
        <f t="shared" si="183"/>
        <v>0</v>
      </c>
      <c r="AX276" s="141">
        <f t="shared" si="184"/>
        <v>0</v>
      </c>
      <c r="AY276" s="141">
        <f t="shared" si="185"/>
        <v>0</v>
      </c>
      <c r="AZ276" s="141">
        <f t="shared" si="186"/>
        <v>0</v>
      </c>
      <c r="BA276" s="141">
        <f t="shared" si="187"/>
        <v>0</v>
      </c>
      <c r="BB276" s="141">
        <f t="shared" si="188"/>
        <v>0</v>
      </c>
      <c r="BC276" s="141">
        <f t="shared" si="189"/>
        <v>0</v>
      </c>
      <c r="BD276" s="141">
        <f t="shared" si="190"/>
        <v>0</v>
      </c>
      <c r="BE276" s="141">
        <f t="shared" si="191"/>
        <v>0</v>
      </c>
      <c r="BF276" s="141">
        <f t="shared" si="192"/>
        <v>0</v>
      </c>
      <c r="BG276" s="141">
        <f t="shared" si="169"/>
        <v>0</v>
      </c>
      <c r="BH276" s="141">
        <f t="shared" si="170"/>
        <v>0</v>
      </c>
      <c r="BI276" s="141">
        <f t="shared" si="193"/>
        <v>0</v>
      </c>
      <c r="BJ276" s="147">
        <f t="shared" si="171"/>
        <v>0</v>
      </c>
      <c r="BK276" s="141">
        <f t="shared" si="172"/>
        <v>0</v>
      </c>
      <c r="BL276" s="141">
        <f t="shared" si="173"/>
        <v>0</v>
      </c>
      <c r="BM276" s="141">
        <f t="shared" si="174"/>
        <v>0</v>
      </c>
      <c r="BN276" s="141">
        <f t="shared" si="175"/>
        <v>0</v>
      </c>
      <c r="BO276" s="141">
        <f t="shared" si="176"/>
        <v>0</v>
      </c>
      <c r="BP276" s="141">
        <f t="shared" si="177"/>
        <v>0</v>
      </c>
      <c r="BT276" s="177"/>
      <c r="BU276" s="173"/>
      <c r="BV276" s="174"/>
      <c r="BW276" s="117"/>
      <c r="BX276" s="180"/>
      <c r="BY276" s="117"/>
      <c r="BZ276" s="181"/>
      <c r="CA276" s="182"/>
      <c r="CB276" s="176"/>
      <c r="CC276" s="176"/>
      <c r="CF276" s="170"/>
      <c r="CG276" s="171"/>
      <c r="CH276" s="170"/>
      <c r="CI276" s="171"/>
    </row>
    <row r="277" spans="2:87" s="108" customFormat="1" ht="15" hidden="1" customHeight="1">
      <c r="B277" s="109"/>
      <c r="C277" s="141" t="e">
        <f t="shared" si="195"/>
        <v>#NUM!</v>
      </c>
      <c r="D277" s="141">
        <f t="shared" si="154"/>
        <v>0</v>
      </c>
      <c r="E277" s="141" t="str">
        <f>IFERROR(DGET($BV$30:$CC$82,F277,G276:G277),"")</f>
        <v/>
      </c>
      <c r="F277" s="142">
        <f t="shared" si="178"/>
        <v>0</v>
      </c>
      <c r="G277" s="142" t="b">
        <f>IF(Q277&gt;0,IF(AND(S277&gt;0,S277&lt;2),CONCATENATE(Q277," ","0-2"),IF(AND(S277&gt;=2,S277&lt;8),CONCATENATE(Q277," ","2-8"),)))</f>
        <v>0</v>
      </c>
      <c r="H277" s="80">
        <f t="shared" si="155"/>
        <v>0</v>
      </c>
      <c r="I277" s="80" t="str">
        <f t="shared" si="179"/>
        <v/>
      </c>
      <c r="J277" s="76"/>
      <c r="K277" s="76"/>
      <c r="L277" s="76"/>
      <c r="M277" s="80"/>
      <c r="N277" s="79"/>
      <c r="O277" s="148"/>
      <c r="P277" s="77">
        <f t="shared" si="180"/>
        <v>0</v>
      </c>
      <c r="Q277" s="81"/>
      <c r="R277" s="77"/>
      <c r="S277" s="146">
        <f t="shared" si="196"/>
        <v>0</v>
      </c>
      <c r="T277" s="141" t="b">
        <f t="shared" si="194"/>
        <v>0</v>
      </c>
      <c r="U277" s="649">
        <f t="shared" si="156"/>
        <v>0</v>
      </c>
      <c r="V277" s="650"/>
      <c r="W277" s="649">
        <f t="shared" si="157"/>
        <v>0</v>
      </c>
      <c r="X277" s="650"/>
      <c r="Y277" s="649">
        <f t="shared" si="158"/>
        <v>0</v>
      </c>
      <c r="Z277" s="650"/>
      <c r="AA277" s="649">
        <f t="shared" si="159"/>
        <v>0</v>
      </c>
      <c r="AB277" s="650"/>
      <c r="AC277" s="649">
        <f t="shared" si="160"/>
        <v>0</v>
      </c>
      <c r="AD277" s="650"/>
      <c r="AE277" s="649">
        <f t="shared" si="161"/>
        <v>0</v>
      </c>
      <c r="AF277" s="650"/>
      <c r="AG277" s="649">
        <f t="shared" si="162"/>
        <v>0</v>
      </c>
      <c r="AH277" s="650"/>
      <c r="AI277" s="649">
        <f t="shared" si="163"/>
        <v>0</v>
      </c>
      <c r="AJ277" s="650"/>
      <c r="AK277" s="649">
        <f t="shared" si="164"/>
        <v>0</v>
      </c>
      <c r="AL277" s="650"/>
      <c r="AM277" s="649">
        <f t="shared" si="165"/>
        <v>0</v>
      </c>
      <c r="AN277" s="650"/>
      <c r="AO277" s="649">
        <f t="shared" si="166"/>
        <v>0</v>
      </c>
      <c r="AP277" s="650"/>
      <c r="AQ277" s="649">
        <f t="shared" si="167"/>
        <v>0</v>
      </c>
      <c r="AR277" s="650"/>
      <c r="AS277" s="651">
        <f t="shared" si="168"/>
        <v>0</v>
      </c>
      <c r="AT277" s="652"/>
      <c r="AU277" s="141">
        <f t="shared" si="181"/>
        <v>0</v>
      </c>
      <c r="AV277" s="141">
        <f t="shared" si="182"/>
        <v>0</v>
      </c>
      <c r="AW277" s="141">
        <f t="shared" si="183"/>
        <v>0</v>
      </c>
      <c r="AX277" s="141">
        <f t="shared" si="184"/>
        <v>0</v>
      </c>
      <c r="AY277" s="141">
        <f t="shared" si="185"/>
        <v>0</v>
      </c>
      <c r="AZ277" s="141">
        <f t="shared" si="186"/>
        <v>0</v>
      </c>
      <c r="BA277" s="141">
        <f t="shared" si="187"/>
        <v>0</v>
      </c>
      <c r="BB277" s="141">
        <f t="shared" si="188"/>
        <v>0</v>
      </c>
      <c r="BC277" s="141">
        <f t="shared" si="189"/>
        <v>0</v>
      </c>
      <c r="BD277" s="141">
        <f t="shared" si="190"/>
        <v>0</v>
      </c>
      <c r="BE277" s="141">
        <f t="shared" si="191"/>
        <v>0</v>
      </c>
      <c r="BF277" s="141">
        <f t="shared" si="192"/>
        <v>0</v>
      </c>
      <c r="BG277" s="141">
        <f t="shared" si="169"/>
        <v>0</v>
      </c>
      <c r="BH277" s="141">
        <f t="shared" si="170"/>
        <v>0</v>
      </c>
      <c r="BI277" s="141">
        <f t="shared" si="193"/>
        <v>0</v>
      </c>
      <c r="BJ277" s="147">
        <f t="shared" si="171"/>
        <v>0</v>
      </c>
      <c r="BK277" s="141">
        <f t="shared" si="172"/>
        <v>0</v>
      </c>
      <c r="BL277" s="141">
        <f t="shared" si="173"/>
        <v>0</v>
      </c>
      <c r="BM277" s="141">
        <f t="shared" si="174"/>
        <v>0</v>
      </c>
      <c r="BN277" s="141">
        <f t="shared" si="175"/>
        <v>0</v>
      </c>
      <c r="BO277" s="141">
        <f t="shared" si="176"/>
        <v>0</v>
      </c>
      <c r="BP277" s="141">
        <f t="shared" si="177"/>
        <v>0</v>
      </c>
      <c r="BT277" s="177"/>
      <c r="BU277" s="173"/>
      <c r="BV277" s="174"/>
      <c r="BW277" s="117"/>
      <c r="BX277" s="180"/>
      <c r="BY277" s="117"/>
      <c r="BZ277" s="181"/>
      <c r="CA277" s="182"/>
      <c r="CB277" s="176"/>
      <c r="CC277" s="176"/>
      <c r="CF277" s="170"/>
      <c r="CG277" s="171"/>
      <c r="CH277" s="170"/>
      <c r="CI277" s="171"/>
    </row>
    <row r="278" spans="2:87" s="108" customFormat="1" ht="15" hidden="1" customHeight="1">
      <c r="B278" s="109"/>
      <c r="C278" s="141" t="e">
        <f t="shared" si="195"/>
        <v>#NUM!</v>
      </c>
      <c r="D278" s="141">
        <f t="shared" si="154"/>
        <v>0</v>
      </c>
      <c r="E278" s="141"/>
      <c r="F278" s="142">
        <f t="shared" si="178"/>
        <v>0</v>
      </c>
      <c r="G278" s="143" t="s">
        <v>146</v>
      </c>
      <c r="H278" s="80">
        <f t="shared" si="155"/>
        <v>0</v>
      </c>
      <c r="I278" s="80" t="str">
        <f t="shared" si="179"/>
        <v/>
      </c>
      <c r="J278" s="144"/>
      <c r="K278" s="144"/>
      <c r="L278" s="144"/>
      <c r="M278" s="76"/>
      <c r="N278" s="77"/>
      <c r="O278" s="145"/>
      <c r="P278" s="77">
        <f t="shared" si="180"/>
        <v>0</v>
      </c>
      <c r="Q278" s="78"/>
      <c r="R278" s="79"/>
      <c r="S278" s="146">
        <f t="shared" si="196"/>
        <v>0</v>
      </c>
      <c r="T278" s="141" t="b">
        <f t="shared" si="194"/>
        <v>0</v>
      </c>
      <c r="U278" s="649">
        <f t="shared" si="156"/>
        <v>0</v>
      </c>
      <c r="V278" s="650"/>
      <c r="W278" s="649">
        <f t="shared" si="157"/>
        <v>0</v>
      </c>
      <c r="X278" s="650"/>
      <c r="Y278" s="649">
        <f t="shared" si="158"/>
        <v>0</v>
      </c>
      <c r="Z278" s="650"/>
      <c r="AA278" s="649">
        <f t="shared" si="159"/>
        <v>0</v>
      </c>
      <c r="AB278" s="650"/>
      <c r="AC278" s="649">
        <f t="shared" si="160"/>
        <v>0</v>
      </c>
      <c r="AD278" s="650"/>
      <c r="AE278" s="649">
        <f t="shared" si="161"/>
        <v>0</v>
      </c>
      <c r="AF278" s="650"/>
      <c r="AG278" s="649">
        <f t="shared" si="162"/>
        <v>0</v>
      </c>
      <c r="AH278" s="650"/>
      <c r="AI278" s="649">
        <f t="shared" si="163"/>
        <v>0</v>
      </c>
      <c r="AJ278" s="650"/>
      <c r="AK278" s="649">
        <f t="shared" si="164"/>
        <v>0</v>
      </c>
      <c r="AL278" s="650"/>
      <c r="AM278" s="649">
        <f t="shared" si="165"/>
        <v>0</v>
      </c>
      <c r="AN278" s="650"/>
      <c r="AO278" s="649">
        <f t="shared" si="166"/>
        <v>0</v>
      </c>
      <c r="AP278" s="650"/>
      <c r="AQ278" s="649">
        <f t="shared" si="167"/>
        <v>0</v>
      </c>
      <c r="AR278" s="650"/>
      <c r="AS278" s="651">
        <f t="shared" si="168"/>
        <v>0</v>
      </c>
      <c r="AT278" s="652"/>
      <c r="AU278" s="141">
        <f t="shared" si="181"/>
        <v>0</v>
      </c>
      <c r="AV278" s="141">
        <f t="shared" si="182"/>
        <v>0</v>
      </c>
      <c r="AW278" s="141">
        <f t="shared" si="183"/>
        <v>0</v>
      </c>
      <c r="AX278" s="141">
        <f t="shared" si="184"/>
        <v>0</v>
      </c>
      <c r="AY278" s="141">
        <f t="shared" si="185"/>
        <v>0</v>
      </c>
      <c r="AZ278" s="141">
        <f t="shared" si="186"/>
        <v>0</v>
      </c>
      <c r="BA278" s="141">
        <f t="shared" si="187"/>
        <v>0</v>
      </c>
      <c r="BB278" s="141">
        <f t="shared" si="188"/>
        <v>0</v>
      </c>
      <c r="BC278" s="141">
        <f t="shared" si="189"/>
        <v>0</v>
      </c>
      <c r="BD278" s="141">
        <f t="shared" si="190"/>
        <v>0</v>
      </c>
      <c r="BE278" s="141">
        <f t="shared" si="191"/>
        <v>0</v>
      </c>
      <c r="BF278" s="141">
        <f t="shared" si="192"/>
        <v>0</v>
      </c>
      <c r="BG278" s="141">
        <f t="shared" si="169"/>
        <v>0</v>
      </c>
      <c r="BH278" s="141">
        <f t="shared" si="170"/>
        <v>0</v>
      </c>
      <c r="BI278" s="141">
        <f t="shared" si="193"/>
        <v>0</v>
      </c>
      <c r="BJ278" s="147">
        <f t="shared" si="171"/>
        <v>0</v>
      </c>
      <c r="BK278" s="141">
        <f t="shared" si="172"/>
        <v>0</v>
      </c>
      <c r="BL278" s="141">
        <f t="shared" si="173"/>
        <v>0</v>
      </c>
      <c r="BM278" s="141">
        <f t="shared" si="174"/>
        <v>0</v>
      </c>
      <c r="BN278" s="141">
        <f t="shared" si="175"/>
        <v>0</v>
      </c>
      <c r="BO278" s="141">
        <f t="shared" si="176"/>
        <v>0</v>
      </c>
      <c r="BP278" s="141">
        <f t="shared" si="177"/>
        <v>0</v>
      </c>
      <c r="BT278" s="177"/>
      <c r="BU278" s="173"/>
      <c r="BV278" s="174"/>
      <c r="BW278" s="117"/>
      <c r="BX278" s="180"/>
      <c r="BY278" s="117"/>
      <c r="BZ278" s="181"/>
      <c r="CA278" s="182"/>
      <c r="CB278" s="176"/>
      <c r="CC278" s="176"/>
      <c r="CF278" s="170"/>
      <c r="CG278" s="171"/>
      <c r="CH278" s="170"/>
      <c r="CI278" s="171"/>
    </row>
    <row r="279" spans="2:87" s="108" customFormat="1" ht="15" hidden="1" customHeight="1">
      <c r="B279" s="109"/>
      <c r="C279" s="141" t="e">
        <f t="shared" si="195"/>
        <v>#NUM!</v>
      </c>
      <c r="D279" s="141">
        <f t="shared" si="154"/>
        <v>0</v>
      </c>
      <c r="E279" s="141" t="str">
        <f>IFERROR(DGET($BV$30:$CC$82,F279,G278:G279),"")</f>
        <v/>
      </c>
      <c r="F279" s="142">
        <f t="shared" si="178"/>
        <v>0</v>
      </c>
      <c r="G279" s="142" t="b">
        <f>IF(Q279&gt;0,IF(AND(S279&gt;0,S279&lt;2),CONCATENATE(Q279," ","0-2"),IF(AND(S279&gt;=2,S279&lt;8),CONCATENATE(Q279," ","2-8"),)))</f>
        <v>0</v>
      </c>
      <c r="H279" s="80">
        <f t="shared" si="155"/>
        <v>0</v>
      </c>
      <c r="I279" s="80" t="str">
        <f t="shared" si="179"/>
        <v/>
      </c>
      <c r="J279" s="76"/>
      <c r="K279" s="76"/>
      <c r="L279" s="76"/>
      <c r="M279" s="80"/>
      <c r="N279" s="79"/>
      <c r="O279" s="148"/>
      <c r="P279" s="77">
        <f t="shared" si="180"/>
        <v>0</v>
      </c>
      <c r="Q279" s="81"/>
      <c r="R279" s="77"/>
      <c r="S279" s="146">
        <f t="shared" si="196"/>
        <v>0</v>
      </c>
      <c r="T279" s="141" t="b">
        <f t="shared" si="194"/>
        <v>0</v>
      </c>
      <c r="U279" s="649">
        <f t="shared" si="156"/>
        <v>0</v>
      </c>
      <c r="V279" s="650"/>
      <c r="W279" s="649">
        <f t="shared" si="157"/>
        <v>0</v>
      </c>
      <c r="X279" s="650"/>
      <c r="Y279" s="649">
        <f t="shared" si="158"/>
        <v>0</v>
      </c>
      <c r="Z279" s="650"/>
      <c r="AA279" s="649">
        <f t="shared" si="159"/>
        <v>0</v>
      </c>
      <c r="AB279" s="650"/>
      <c r="AC279" s="649">
        <f t="shared" si="160"/>
        <v>0</v>
      </c>
      <c r="AD279" s="650"/>
      <c r="AE279" s="649">
        <f t="shared" si="161"/>
        <v>0</v>
      </c>
      <c r="AF279" s="650"/>
      <c r="AG279" s="649">
        <f t="shared" si="162"/>
        <v>0</v>
      </c>
      <c r="AH279" s="650"/>
      <c r="AI279" s="649">
        <f t="shared" si="163"/>
        <v>0</v>
      </c>
      <c r="AJ279" s="650"/>
      <c r="AK279" s="649">
        <f t="shared" si="164"/>
        <v>0</v>
      </c>
      <c r="AL279" s="650"/>
      <c r="AM279" s="649">
        <f t="shared" si="165"/>
        <v>0</v>
      </c>
      <c r="AN279" s="650"/>
      <c r="AO279" s="649">
        <f t="shared" si="166"/>
        <v>0</v>
      </c>
      <c r="AP279" s="650"/>
      <c r="AQ279" s="649">
        <f t="shared" si="167"/>
        <v>0</v>
      </c>
      <c r="AR279" s="650"/>
      <c r="AS279" s="651">
        <f t="shared" si="168"/>
        <v>0</v>
      </c>
      <c r="AT279" s="652"/>
      <c r="AU279" s="141">
        <f t="shared" si="181"/>
        <v>0</v>
      </c>
      <c r="AV279" s="141">
        <f t="shared" si="182"/>
        <v>0</v>
      </c>
      <c r="AW279" s="141">
        <f t="shared" si="183"/>
        <v>0</v>
      </c>
      <c r="AX279" s="141">
        <f t="shared" si="184"/>
        <v>0</v>
      </c>
      <c r="AY279" s="141">
        <f t="shared" si="185"/>
        <v>0</v>
      </c>
      <c r="AZ279" s="141">
        <f t="shared" si="186"/>
        <v>0</v>
      </c>
      <c r="BA279" s="141">
        <f t="shared" si="187"/>
        <v>0</v>
      </c>
      <c r="BB279" s="141">
        <f t="shared" si="188"/>
        <v>0</v>
      </c>
      <c r="BC279" s="141">
        <f t="shared" si="189"/>
        <v>0</v>
      </c>
      <c r="BD279" s="141">
        <f t="shared" si="190"/>
        <v>0</v>
      </c>
      <c r="BE279" s="141">
        <f t="shared" si="191"/>
        <v>0</v>
      </c>
      <c r="BF279" s="141">
        <f t="shared" si="192"/>
        <v>0</v>
      </c>
      <c r="BG279" s="141">
        <f t="shared" si="169"/>
        <v>0</v>
      </c>
      <c r="BH279" s="141">
        <f t="shared" si="170"/>
        <v>0</v>
      </c>
      <c r="BI279" s="141">
        <f t="shared" si="193"/>
        <v>0</v>
      </c>
      <c r="BJ279" s="147">
        <f t="shared" si="171"/>
        <v>0</v>
      </c>
      <c r="BK279" s="141">
        <f t="shared" si="172"/>
        <v>0</v>
      </c>
      <c r="BL279" s="141">
        <f t="shared" si="173"/>
        <v>0</v>
      </c>
      <c r="BM279" s="141">
        <f t="shared" si="174"/>
        <v>0</v>
      </c>
      <c r="BN279" s="141">
        <f t="shared" si="175"/>
        <v>0</v>
      </c>
      <c r="BO279" s="141">
        <f t="shared" si="176"/>
        <v>0</v>
      </c>
      <c r="BP279" s="141">
        <f t="shared" si="177"/>
        <v>0</v>
      </c>
      <c r="BT279" s="177"/>
      <c r="BU279" s="173"/>
      <c r="BV279" s="174"/>
      <c r="BW279" s="117"/>
      <c r="BX279" s="180"/>
      <c r="BY279" s="117"/>
      <c r="BZ279" s="181"/>
      <c r="CA279" s="182"/>
      <c r="CB279" s="176"/>
      <c r="CC279" s="176"/>
      <c r="CF279" s="170"/>
      <c r="CG279" s="171"/>
      <c r="CH279" s="170"/>
      <c r="CI279" s="171"/>
    </row>
    <row r="280" spans="2:87" s="108" customFormat="1" ht="15" hidden="1" customHeight="1">
      <c r="B280" s="109"/>
      <c r="C280" s="141" t="e">
        <f t="shared" si="195"/>
        <v>#NUM!</v>
      </c>
      <c r="D280" s="141">
        <f t="shared" si="154"/>
        <v>0</v>
      </c>
      <c r="E280" s="141"/>
      <c r="F280" s="142">
        <f t="shared" si="178"/>
        <v>0</v>
      </c>
      <c r="G280" s="143" t="s">
        <v>146</v>
      </c>
      <c r="H280" s="80">
        <f t="shared" si="155"/>
        <v>0</v>
      </c>
      <c r="I280" s="80" t="str">
        <f t="shared" si="179"/>
        <v/>
      </c>
      <c r="J280" s="144"/>
      <c r="K280" s="144"/>
      <c r="L280" s="144"/>
      <c r="M280" s="76"/>
      <c r="N280" s="77"/>
      <c r="O280" s="145"/>
      <c r="P280" s="77">
        <f t="shared" si="180"/>
        <v>0</v>
      </c>
      <c r="Q280" s="78"/>
      <c r="R280" s="79"/>
      <c r="S280" s="146">
        <f t="shared" si="196"/>
        <v>0</v>
      </c>
      <c r="T280" s="141" t="b">
        <f t="shared" si="194"/>
        <v>0</v>
      </c>
      <c r="U280" s="649">
        <f t="shared" si="156"/>
        <v>0</v>
      </c>
      <c r="V280" s="650"/>
      <c r="W280" s="649">
        <f t="shared" si="157"/>
        <v>0</v>
      </c>
      <c r="X280" s="650"/>
      <c r="Y280" s="649">
        <f t="shared" si="158"/>
        <v>0</v>
      </c>
      <c r="Z280" s="650"/>
      <c r="AA280" s="649">
        <f t="shared" si="159"/>
        <v>0</v>
      </c>
      <c r="AB280" s="650"/>
      <c r="AC280" s="649">
        <f t="shared" si="160"/>
        <v>0</v>
      </c>
      <c r="AD280" s="650"/>
      <c r="AE280" s="649">
        <f t="shared" si="161"/>
        <v>0</v>
      </c>
      <c r="AF280" s="650"/>
      <c r="AG280" s="649">
        <f t="shared" si="162"/>
        <v>0</v>
      </c>
      <c r="AH280" s="650"/>
      <c r="AI280" s="649">
        <f t="shared" si="163"/>
        <v>0</v>
      </c>
      <c r="AJ280" s="650"/>
      <c r="AK280" s="649">
        <f t="shared" si="164"/>
        <v>0</v>
      </c>
      <c r="AL280" s="650"/>
      <c r="AM280" s="649">
        <f t="shared" si="165"/>
        <v>0</v>
      </c>
      <c r="AN280" s="650"/>
      <c r="AO280" s="649">
        <f t="shared" si="166"/>
        <v>0</v>
      </c>
      <c r="AP280" s="650"/>
      <c r="AQ280" s="649">
        <f t="shared" si="167"/>
        <v>0</v>
      </c>
      <c r="AR280" s="650"/>
      <c r="AS280" s="651">
        <f t="shared" si="168"/>
        <v>0</v>
      </c>
      <c r="AT280" s="652"/>
      <c r="AU280" s="141">
        <f t="shared" si="181"/>
        <v>0</v>
      </c>
      <c r="AV280" s="141">
        <f t="shared" si="182"/>
        <v>0</v>
      </c>
      <c r="AW280" s="141">
        <f t="shared" si="183"/>
        <v>0</v>
      </c>
      <c r="AX280" s="141">
        <f t="shared" si="184"/>
        <v>0</v>
      </c>
      <c r="AY280" s="141">
        <f t="shared" si="185"/>
        <v>0</v>
      </c>
      <c r="AZ280" s="141">
        <f t="shared" si="186"/>
        <v>0</v>
      </c>
      <c r="BA280" s="141">
        <f t="shared" si="187"/>
        <v>0</v>
      </c>
      <c r="BB280" s="141">
        <f t="shared" si="188"/>
        <v>0</v>
      </c>
      <c r="BC280" s="141">
        <f t="shared" si="189"/>
        <v>0</v>
      </c>
      <c r="BD280" s="141">
        <f t="shared" si="190"/>
        <v>0</v>
      </c>
      <c r="BE280" s="141">
        <f t="shared" si="191"/>
        <v>0</v>
      </c>
      <c r="BF280" s="141">
        <f t="shared" si="192"/>
        <v>0</v>
      </c>
      <c r="BG280" s="141">
        <f t="shared" si="169"/>
        <v>0</v>
      </c>
      <c r="BH280" s="141">
        <f t="shared" si="170"/>
        <v>0</v>
      </c>
      <c r="BI280" s="141">
        <f t="shared" si="193"/>
        <v>0</v>
      </c>
      <c r="BJ280" s="147">
        <f t="shared" si="171"/>
        <v>0</v>
      </c>
      <c r="BK280" s="141">
        <f t="shared" si="172"/>
        <v>0</v>
      </c>
      <c r="BL280" s="141">
        <f t="shared" si="173"/>
        <v>0</v>
      </c>
      <c r="BM280" s="141">
        <f t="shared" si="174"/>
        <v>0</v>
      </c>
      <c r="BN280" s="141">
        <f t="shared" si="175"/>
        <v>0</v>
      </c>
      <c r="BO280" s="141">
        <f t="shared" si="176"/>
        <v>0</v>
      </c>
      <c r="BP280" s="141">
        <f t="shared" si="177"/>
        <v>0</v>
      </c>
      <c r="BT280" s="177"/>
      <c r="BU280" s="173"/>
      <c r="BV280" s="174"/>
      <c r="BW280" s="117"/>
      <c r="BX280" s="180"/>
      <c r="BY280" s="117"/>
      <c r="BZ280" s="181"/>
      <c r="CA280" s="182"/>
      <c r="CB280" s="176"/>
      <c r="CC280" s="176"/>
      <c r="CF280" s="170"/>
      <c r="CG280" s="171"/>
      <c r="CH280" s="170"/>
      <c r="CI280" s="171"/>
    </row>
    <row r="281" spans="2:87" s="108" customFormat="1" ht="15" hidden="1" customHeight="1">
      <c r="B281" s="109"/>
      <c r="C281" s="141" t="e">
        <f t="shared" si="195"/>
        <v>#NUM!</v>
      </c>
      <c r="D281" s="141">
        <f t="shared" si="154"/>
        <v>0</v>
      </c>
      <c r="E281" s="141" t="str">
        <f>IFERROR(DGET($BV$30:$CC$82,F281,G280:G281),"")</f>
        <v/>
      </c>
      <c r="F281" s="142">
        <f t="shared" si="178"/>
        <v>0</v>
      </c>
      <c r="G281" s="142" t="b">
        <f>IF(Q281&gt;0,IF(AND(S281&gt;0,S281&lt;2),CONCATENATE(Q281," ","0-2"),IF(AND(S281&gt;=2,S281&lt;8),CONCATENATE(Q281," ","2-8"),)))</f>
        <v>0</v>
      </c>
      <c r="H281" s="80">
        <f t="shared" si="155"/>
        <v>0</v>
      </c>
      <c r="I281" s="80" t="str">
        <f t="shared" si="179"/>
        <v/>
      </c>
      <c r="J281" s="76"/>
      <c r="K281" s="76"/>
      <c r="L281" s="76"/>
      <c r="M281" s="80"/>
      <c r="N281" s="79"/>
      <c r="O281" s="148"/>
      <c r="P281" s="77">
        <f t="shared" si="180"/>
        <v>0</v>
      </c>
      <c r="Q281" s="81"/>
      <c r="R281" s="77"/>
      <c r="S281" s="146">
        <f t="shared" si="196"/>
        <v>0</v>
      </c>
      <c r="T281" s="141" t="b">
        <f t="shared" si="194"/>
        <v>0</v>
      </c>
      <c r="U281" s="649">
        <f t="shared" si="156"/>
        <v>0</v>
      </c>
      <c r="V281" s="650"/>
      <c r="W281" s="649">
        <f t="shared" si="157"/>
        <v>0</v>
      </c>
      <c r="X281" s="650"/>
      <c r="Y281" s="649">
        <f t="shared" si="158"/>
        <v>0</v>
      </c>
      <c r="Z281" s="650"/>
      <c r="AA281" s="649">
        <f t="shared" si="159"/>
        <v>0</v>
      </c>
      <c r="AB281" s="650"/>
      <c r="AC281" s="649">
        <f t="shared" si="160"/>
        <v>0</v>
      </c>
      <c r="AD281" s="650"/>
      <c r="AE281" s="649">
        <f t="shared" si="161"/>
        <v>0</v>
      </c>
      <c r="AF281" s="650"/>
      <c r="AG281" s="649">
        <f t="shared" si="162"/>
        <v>0</v>
      </c>
      <c r="AH281" s="650"/>
      <c r="AI281" s="649">
        <f t="shared" si="163"/>
        <v>0</v>
      </c>
      <c r="AJ281" s="650"/>
      <c r="AK281" s="649">
        <f t="shared" si="164"/>
        <v>0</v>
      </c>
      <c r="AL281" s="650"/>
      <c r="AM281" s="649">
        <f t="shared" si="165"/>
        <v>0</v>
      </c>
      <c r="AN281" s="650"/>
      <c r="AO281" s="649">
        <f t="shared" si="166"/>
        <v>0</v>
      </c>
      <c r="AP281" s="650"/>
      <c r="AQ281" s="649">
        <f t="shared" si="167"/>
        <v>0</v>
      </c>
      <c r="AR281" s="650"/>
      <c r="AS281" s="651">
        <f t="shared" si="168"/>
        <v>0</v>
      </c>
      <c r="AT281" s="652"/>
      <c r="AU281" s="141">
        <f t="shared" si="181"/>
        <v>0</v>
      </c>
      <c r="AV281" s="141">
        <f t="shared" si="182"/>
        <v>0</v>
      </c>
      <c r="AW281" s="141">
        <f t="shared" si="183"/>
        <v>0</v>
      </c>
      <c r="AX281" s="141">
        <f t="shared" si="184"/>
        <v>0</v>
      </c>
      <c r="AY281" s="141">
        <f t="shared" si="185"/>
        <v>0</v>
      </c>
      <c r="AZ281" s="141">
        <f t="shared" si="186"/>
        <v>0</v>
      </c>
      <c r="BA281" s="141">
        <f t="shared" si="187"/>
        <v>0</v>
      </c>
      <c r="BB281" s="141">
        <f t="shared" si="188"/>
        <v>0</v>
      </c>
      <c r="BC281" s="141">
        <f t="shared" si="189"/>
        <v>0</v>
      </c>
      <c r="BD281" s="141">
        <f t="shared" si="190"/>
        <v>0</v>
      </c>
      <c r="BE281" s="141">
        <f t="shared" si="191"/>
        <v>0</v>
      </c>
      <c r="BF281" s="141">
        <f t="shared" si="192"/>
        <v>0</v>
      </c>
      <c r="BG281" s="141">
        <f t="shared" si="169"/>
        <v>0</v>
      </c>
      <c r="BH281" s="141">
        <f t="shared" si="170"/>
        <v>0</v>
      </c>
      <c r="BI281" s="141">
        <f t="shared" si="193"/>
        <v>0</v>
      </c>
      <c r="BJ281" s="147">
        <f t="shared" si="171"/>
        <v>0</v>
      </c>
      <c r="BK281" s="141">
        <f t="shared" si="172"/>
        <v>0</v>
      </c>
      <c r="BL281" s="141">
        <f t="shared" si="173"/>
        <v>0</v>
      </c>
      <c r="BM281" s="141">
        <f t="shared" si="174"/>
        <v>0</v>
      </c>
      <c r="BN281" s="141">
        <f t="shared" si="175"/>
        <v>0</v>
      </c>
      <c r="BO281" s="141">
        <f t="shared" si="176"/>
        <v>0</v>
      </c>
      <c r="BP281" s="141">
        <f t="shared" si="177"/>
        <v>0</v>
      </c>
      <c r="BT281" s="177"/>
      <c r="BU281" s="173"/>
      <c r="BV281" s="174"/>
      <c r="BW281" s="117"/>
      <c r="BX281" s="180"/>
      <c r="BY281" s="117"/>
      <c r="BZ281" s="181"/>
      <c r="CA281" s="182"/>
      <c r="CB281" s="176"/>
      <c r="CC281" s="176"/>
      <c r="CF281" s="170"/>
      <c r="CG281" s="171"/>
      <c r="CH281" s="170"/>
      <c r="CI281" s="171"/>
    </row>
    <row r="282" spans="2:87" s="108" customFormat="1" ht="15" hidden="1" customHeight="1">
      <c r="B282" s="109"/>
      <c r="C282" s="141" t="e">
        <f t="shared" si="195"/>
        <v>#NUM!</v>
      </c>
      <c r="D282" s="141">
        <f t="shared" si="154"/>
        <v>0</v>
      </c>
      <c r="E282" s="141"/>
      <c r="F282" s="142">
        <f t="shared" si="178"/>
        <v>0</v>
      </c>
      <c r="G282" s="143" t="s">
        <v>146</v>
      </c>
      <c r="H282" s="80">
        <f t="shared" si="155"/>
        <v>0</v>
      </c>
      <c r="I282" s="80" t="str">
        <f t="shared" si="179"/>
        <v/>
      </c>
      <c r="J282" s="144"/>
      <c r="K282" s="144"/>
      <c r="L282" s="144"/>
      <c r="M282" s="76"/>
      <c r="N282" s="77"/>
      <c r="O282" s="145"/>
      <c r="P282" s="77">
        <f t="shared" si="180"/>
        <v>0</v>
      </c>
      <c r="Q282" s="78"/>
      <c r="R282" s="79"/>
      <c r="S282" s="146">
        <f t="shared" si="196"/>
        <v>0</v>
      </c>
      <c r="T282" s="141" t="b">
        <f t="shared" si="194"/>
        <v>0</v>
      </c>
      <c r="U282" s="649">
        <f t="shared" si="156"/>
        <v>0</v>
      </c>
      <c r="V282" s="650"/>
      <c r="W282" s="649">
        <f t="shared" si="157"/>
        <v>0</v>
      </c>
      <c r="X282" s="650"/>
      <c r="Y282" s="649">
        <f t="shared" si="158"/>
        <v>0</v>
      </c>
      <c r="Z282" s="650"/>
      <c r="AA282" s="649">
        <f t="shared" si="159"/>
        <v>0</v>
      </c>
      <c r="AB282" s="650"/>
      <c r="AC282" s="649">
        <f t="shared" si="160"/>
        <v>0</v>
      </c>
      <c r="AD282" s="650"/>
      <c r="AE282" s="649">
        <f t="shared" si="161"/>
        <v>0</v>
      </c>
      <c r="AF282" s="650"/>
      <c r="AG282" s="649">
        <f t="shared" si="162"/>
        <v>0</v>
      </c>
      <c r="AH282" s="650"/>
      <c r="AI282" s="649">
        <f t="shared" si="163"/>
        <v>0</v>
      </c>
      <c r="AJ282" s="650"/>
      <c r="AK282" s="649">
        <f t="shared" si="164"/>
        <v>0</v>
      </c>
      <c r="AL282" s="650"/>
      <c r="AM282" s="649">
        <f t="shared" si="165"/>
        <v>0</v>
      </c>
      <c r="AN282" s="650"/>
      <c r="AO282" s="649">
        <f t="shared" si="166"/>
        <v>0</v>
      </c>
      <c r="AP282" s="650"/>
      <c r="AQ282" s="649">
        <f t="shared" si="167"/>
        <v>0</v>
      </c>
      <c r="AR282" s="650"/>
      <c r="AS282" s="651">
        <f t="shared" si="168"/>
        <v>0</v>
      </c>
      <c r="AT282" s="652"/>
      <c r="AU282" s="141">
        <f t="shared" si="181"/>
        <v>0</v>
      </c>
      <c r="AV282" s="141">
        <f t="shared" si="182"/>
        <v>0</v>
      </c>
      <c r="AW282" s="141">
        <f t="shared" si="183"/>
        <v>0</v>
      </c>
      <c r="AX282" s="141">
        <f t="shared" si="184"/>
        <v>0</v>
      </c>
      <c r="AY282" s="141">
        <f t="shared" si="185"/>
        <v>0</v>
      </c>
      <c r="AZ282" s="141">
        <f t="shared" si="186"/>
        <v>0</v>
      </c>
      <c r="BA282" s="141">
        <f t="shared" si="187"/>
        <v>0</v>
      </c>
      <c r="BB282" s="141">
        <f t="shared" si="188"/>
        <v>0</v>
      </c>
      <c r="BC282" s="141">
        <f t="shared" si="189"/>
        <v>0</v>
      </c>
      <c r="BD282" s="141">
        <f t="shared" si="190"/>
        <v>0</v>
      </c>
      <c r="BE282" s="141">
        <f t="shared" si="191"/>
        <v>0</v>
      </c>
      <c r="BF282" s="141">
        <f t="shared" si="192"/>
        <v>0</v>
      </c>
      <c r="BG282" s="141">
        <f t="shared" si="169"/>
        <v>0</v>
      </c>
      <c r="BH282" s="141">
        <f t="shared" si="170"/>
        <v>0</v>
      </c>
      <c r="BI282" s="141">
        <f t="shared" si="193"/>
        <v>0</v>
      </c>
      <c r="BJ282" s="147">
        <f t="shared" si="171"/>
        <v>0</v>
      </c>
      <c r="BK282" s="141">
        <f t="shared" si="172"/>
        <v>0</v>
      </c>
      <c r="BL282" s="141">
        <f t="shared" si="173"/>
        <v>0</v>
      </c>
      <c r="BM282" s="141">
        <f t="shared" si="174"/>
        <v>0</v>
      </c>
      <c r="BN282" s="141">
        <f t="shared" si="175"/>
        <v>0</v>
      </c>
      <c r="BO282" s="141">
        <f t="shared" si="176"/>
        <v>0</v>
      </c>
      <c r="BP282" s="141">
        <f t="shared" si="177"/>
        <v>0</v>
      </c>
      <c r="BT282" s="177"/>
      <c r="BU282" s="173"/>
      <c r="BV282" s="174"/>
      <c r="BW282" s="117"/>
      <c r="BX282" s="180"/>
      <c r="BY282" s="117"/>
      <c r="BZ282" s="181"/>
      <c r="CA282" s="182"/>
      <c r="CB282" s="176"/>
      <c r="CC282" s="176"/>
      <c r="CF282" s="170"/>
      <c r="CG282" s="171"/>
      <c r="CH282" s="170"/>
      <c r="CI282" s="171"/>
    </row>
    <row r="283" spans="2:87" s="108" customFormat="1" ht="15" hidden="1" customHeight="1">
      <c r="B283" s="109"/>
      <c r="C283" s="141" t="e">
        <f t="shared" si="195"/>
        <v>#NUM!</v>
      </c>
      <c r="D283" s="141">
        <f t="shared" si="154"/>
        <v>0</v>
      </c>
      <c r="E283" s="141" t="str">
        <f>IFERROR(DGET($BV$30:$CC$82,F283,G282:G283),"")</f>
        <v/>
      </c>
      <c r="F283" s="142">
        <f t="shared" si="178"/>
        <v>0</v>
      </c>
      <c r="G283" s="142" t="b">
        <f>IF(Q283&gt;0,IF(AND(S283&gt;0,S283&lt;2),CONCATENATE(Q283," ","0-2"),IF(AND(S283&gt;=2,S283&lt;8),CONCATENATE(Q283," ","2-8"),)))</f>
        <v>0</v>
      </c>
      <c r="H283" s="80">
        <f t="shared" si="155"/>
        <v>0</v>
      </c>
      <c r="I283" s="80" t="str">
        <f t="shared" si="179"/>
        <v/>
      </c>
      <c r="J283" s="76"/>
      <c r="K283" s="76"/>
      <c r="L283" s="76"/>
      <c r="M283" s="80"/>
      <c r="N283" s="79"/>
      <c r="O283" s="148"/>
      <c r="P283" s="77">
        <f t="shared" si="180"/>
        <v>0</v>
      </c>
      <c r="Q283" s="81"/>
      <c r="R283" s="77"/>
      <c r="S283" s="146">
        <f t="shared" si="196"/>
        <v>0</v>
      </c>
      <c r="T283" s="141" t="b">
        <f t="shared" si="194"/>
        <v>0</v>
      </c>
      <c r="U283" s="649">
        <f t="shared" si="156"/>
        <v>0</v>
      </c>
      <c r="V283" s="650"/>
      <c r="W283" s="649">
        <f t="shared" si="157"/>
        <v>0</v>
      </c>
      <c r="X283" s="650"/>
      <c r="Y283" s="649">
        <f t="shared" si="158"/>
        <v>0</v>
      </c>
      <c r="Z283" s="650"/>
      <c r="AA283" s="649">
        <f t="shared" si="159"/>
        <v>0</v>
      </c>
      <c r="AB283" s="650"/>
      <c r="AC283" s="649">
        <f t="shared" si="160"/>
        <v>0</v>
      </c>
      <c r="AD283" s="650"/>
      <c r="AE283" s="649">
        <f t="shared" si="161"/>
        <v>0</v>
      </c>
      <c r="AF283" s="650"/>
      <c r="AG283" s="649">
        <f t="shared" si="162"/>
        <v>0</v>
      </c>
      <c r="AH283" s="650"/>
      <c r="AI283" s="649">
        <f t="shared" si="163"/>
        <v>0</v>
      </c>
      <c r="AJ283" s="650"/>
      <c r="AK283" s="649">
        <f t="shared" si="164"/>
        <v>0</v>
      </c>
      <c r="AL283" s="650"/>
      <c r="AM283" s="649">
        <f t="shared" si="165"/>
        <v>0</v>
      </c>
      <c r="AN283" s="650"/>
      <c r="AO283" s="649">
        <f t="shared" si="166"/>
        <v>0</v>
      </c>
      <c r="AP283" s="650"/>
      <c r="AQ283" s="649">
        <f t="shared" si="167"/>
        <v>0</v>
      </c>
      <c r="AR283" s="650"/>
      <c r="AS283" s="651">
        <f t="shared" si="168"/>
        <v>0</v>
      </c>
      <c r="AT283" s="652"/>
      <c r="AU283" s="141">
        <f t="shared" si="181"/>
        <v>0</v>
      </c>
      <c r="AV283" s="141">
        <f t="shared" si="182"/>
        <v>0</v>
      </c>
      <c r="AW283" s="141">
        <f t="shared" si="183"/>
        <v>0</v>
      </c>
      <c r="AX283" s="141">
        <f t="shared" si="184"/>
        <v>0</v>
      </c>
      <c r="AY283" s="141">
        <f t="shared" si="185"/>
        <v>0</v>
      </c>
      <c r="AZ283" s="141">
        <f t="shared" si="186"/>
        <v>0</v>
      </c>
      <c r="BA283" s="141">
        <f t="shared" si="187"/>
        <v>0</v>
      </c>
      <c r="BB283" s="141">
        <f t="shared" si="188"/>
        <v>0</v>
      </c>
      <c r="BC283" s="141">
        <f t="shared" si="189"/>
        <v>0</v>
      </c>
      <c r="BD283" s="141">
        <f t="shared" si="190"/>
        <v>0</v>
      </c>
      <c r="BE283" s="141">
        <f t="shared" si="191"/>
        <v>0</v>
      </c>
      <c r="BF283" s="141">
        <f t="shared" si="192"/>
        <v>0</v>
      </c>
      <c r="BG283" s="141">
        <f t="shared" si="169"/>
        <v>0</v>
      </c>
      <c r="BH283" s="141">
        <f t="shared" si="170"/>
        <v>0</v>
      </c>
      <c r="BI283" s="141">
        <f t="shared" si="193"/>
        <v>0</v>
      </c>
      <c r="BJ283" s="147">
        <f t="shared" si="171"/>
        <v>0</v>
      </c>
      <c r="BK283" s="141">
        <f t="shared" si="172"/>
        <v>0</v>
      </c>
      <c r="BL283" s="141">
        <f t="shared" si="173"/>
        <v>0</v>
      </c>
      <c r="BM283" s="141">
        <f t="shared" si="174"/>
        <v>0</v>
      </c>
      <c r="BN283" s="141">
        <f t="shared" si="175"/>
        <v>0</v>
      </c>
      <c r="BO283" s="141">
        <f t="shared" si="176"/>
        <v>0</v>
      </c>
      <c r="BP283" s="141">
        <f t="shared" si="177"/>
        <v>0</v>
      </c>
      <c r="BT283" s="177"/>
      <c r="BU283" s="173"/>
      <c r="BV283" s="174"/>
      <c r="BW283" s="117"/>
      <c r="BX283" s="180"/>
      <c r="BY283" s="117"/>
      <c r="BZ283" s="181"/>
      <c r="CA283" s="182"/>
      <c r="CB283" s="176"/>
      <c r="CC283" s="176"/>
      <c r="CF283" s="170"/>
      <c r="CG283" s="171"/>
      <c r="CH283" s="170"/>
      <c r="CI283" s="171"/>
    </row>
    <row r="284" spans="2:87" s="108" customFormat="1" ht="15" hidden="1" customHeight="1">
      <c r="B284" s="109"/>
      <c r="C284" s="141" t="e">
        <f t="shared" si="195"/>
        <v>#NUM!</v>
      </c>
      <c r="D284" s="141">
        <f t="shared" ref="D284:D304" si="197">IFERROR(IF(SEARCH("pv",M284)=1,IF(M284&gt;0,1/COUNTIF(M:M,M284),0),0),0)</f>
        <v>0</v>
      </c>
      <c r="E284" s="141"/>
      <c r="F284" s="142">
        <f t="shared" si="178"/>
        <v>0</v>
      </c>
      <c r="G284" s="143" t="s">
        <v>146</v>
      </c>
      <c r="H284" s="80">
        <f t="shared" ref="H284:H285" si="198">IFERROR(VLOOKUP(I284,$CF$75:$CK$104,6,0),0)</f>
        <v>0</v>
      </c>
      <c r="I284" s="80" t="str">
        <f t="shared" si="179"/>
        <v/>
      </c>
      <c r="J284" s="144"/>
      <c r="K284" s="144"/>
      <c r="L284" s="144"/>
      <c r="M284" s="76"/>
      <c r="N284" s="77"/>
      <c r="O284" s="145"/>
      <c r="P284" s="77">
        <f t="shared" si="180"/>
        <v>0</v>
      </c>
      <c r="Q284" s="78"/>
      <c r="R284" s="79"/>
      <c r="S284" s="146">
        <f t="shared" si="196"/>
        <v>0</v>
      </c>
      <c r="T284" s="141" t="b">
        <f t="shared" si="194"/>
        <v>0</v>
      </c>
      <c r="U284" s="649">
        <f t="shared" si="156"/>
        <v>0</v>
      </c>
      <c r="V284" s="650"/>
      <c r="W284" s="649">
        <f t="shared" si="157"/>
        <v>0</v>
      </c>
      <c r="X284" s="650"/>
      <c r="Y284" s="649">
        <f t="shared" si="158"/>
        <v>0</v>
      </c>
      <c r="Z284" s="650"/>
      <c r="AA284" s="649">
        <f t="shared" si="159"/>
        <v>0</v>
      </c>
      <c r="AB284" s="650"/>
      <c r="AC284" s="649">
        <f t="shared" si="160"/>
        <v>0</v>
      </c>
      <c r="AD284" s="650"/>
      <c r="AE284" s="649">
        <f t="shared" si="161"/>
        <v>0</v>
      </c>
      <c r="AF284" s="650"/>
      <c r="AG284" s="649">
        <f t="shared" si="162"/>
        <v>0</v>
      </c>
      <c r="AH284" s="650"/>
      <c r="AI284" s="649">
        <f t="shared" si="163"/>
        <v>0</v>
      </c>
      <c r="AJ284" s="650"/>
      <c r="AK284" s="649">
        <f t="shared" si="164"/>
        <v>0</v>
      </c>
      <c r="AL284" s="650"/>
      <c r="AM284" s="649">
        <f t="shared" si="165"/>
        <v>0</v>
      </c>
      <c r="AN284" s="650"/>
      <c r="AO284" s="649">
        <f t="shared" si="166"/>
        <v>0</v>
      </c>
      <c r="AP284" s="650"/>
      <c r="AQ284" s="649">
        <f t="shared" si="167"/>
        <v>0</v>
      </c>
      <c r="AR284" s="650"/>
      <c r="AS284" s="651">
        <f t="shared" si="168"/>
        <v>0</v>
      </c>
      <c r="AT284" s="652"/>
      <c r="AU284" s="141">
        <f t="shared" si="181"/>
        <v>0</v>
      </c>
      <c r="AV284" s="141">
        <f t="shared" si="182"/>
        <v>0</v>
      </c>
      <c r="AW284" s="141">
        <f t="shared" si="183"/>
        <v>0</v>
      </c>
      <c r="AX284" s="141">
        <f t="shared" si="184"/>
        <v>0</v>
      </c>
      <c r="AY284" s="141">
        <f t="shared" si="185"/>
        <v>0</v>
      </c>
      <c r="AZ284" s="141">
        <f t="shared" si="186"/>
        <v>0</v>
      </c>
      <c r="BA284" s="141">
        <f t="shared" si="187"/>
        <v>0</v>
      </c>
      <c r="BB284" s="141">
        <f t="shared" si="188"/>
        <v>0</v>
      </c>
      <c r="BC284" s="141">
        <f t="shared" si="189"/>
        <v>0</v>
      </c>
      <c r="BD284" s="141">
        <f t="shared" si="190"/>
        <v>0</v>
      </c>
      <c r="BE284" s="141">
        <f t="shared" si="191"/>
        <v>0</v>
      </c>
      <c r="BF284" s="141">
        <f t="shared" si="192"/>
        <v>0</v>
      </c>
      <c r="BG284" s="141">
        <f t="shared" si="169"/>
        <v>0</v>
      </c>
      <c r="BH284" s="141">
        <f t="shared" si="170"/>
        <v>0</v>
      </c>
      <c r="BI284" s="141">
        <f t="shared" si="193"/>
        <v>0</v>
      </c>
      <c r="BJ284" s="147">
        <f t="shared" si="171"/>
        <v>0</v>
      </c>
      <c r="BK284" s="141">
        <f t="shared" ref="BK284:BK304" si="199">IF(J284="BSTC",VLOOKUP(Q284,$CF$58:$CG$70,2,0)*P284,0)</f>
        <v>0</v>
      </c>
      <c r="BL284" s="141">
        <f t="shared" ref="BL284:BL304" si="200">IF(J284="BSTC",VLOOKUP(Q284,$CH$58:$CI$70,2,0)*P284,0)</f>
        <v>0</v>
      </c>
      <c r="BM284" s="141">
        <f t="shared" si="174"/>
        <v>0</v>
      </c>
      <c r="BN284" s="141">
        <f t="shared" si="175"/>
        <v>0</v>
      </c>
      <c r="BO284" s="141">
        <f t="shared" si="176"/>
        <v>0</v>
      </c>
      <c r="BP284" s="141">
        <f t="shared" si="177"/>
        <v>0</v>
      </c>
      <c r="BT284" s="177"/>
      <c r="BU284" s="173"/>
      <c r="BV284" s="174"/>
      <c r="BW284" s="117"/>
      <c r="BX284" s="180"/>
      <c r="BY284" s="117"/>
      <c r="BZ284" s="181"/>
      <c r="CA284" s="182"/>
      <c r="CB284" s="176"/>
      <c r="CC284" s="176"/>
      <c r="CF284" s="170"/>
      <c r="CG284" s="171"/>
      <c r="CH284" s="170"/>
      <c r="CI284" s="171"/>
    </row>
    <row r="285" spans="2:87" s="108" customFormat="1" ht="15" hidden="1" customHeight="1">
      <c r="B285" s="109"/>
      <c r="C285" s="141" t="e">
        <f t="shared" si="195"/>
        <v>#NUM!</v>
      </c>
      <c r="D285" s="141">
        <f t="shared" si="197"/>
        <v>0</v>
      </c>
      <c r="E285" s="141" t="str">
        <f>IFERROR(DGET($BV$30:$CC$82,F285,G284:G285),"")</f>
        <v/>
      </c>
      <c r="F285" s="142">
        <f t="shared" si="178"/>
        <v>0</v>
      </c>
      <c r="G285" s="142" t="b">
        <f>IF(Q285&gt;0,IF(AND(S285&gt;0,S285&lt;2),CONCATENATE(Q285," ","0-2"),IF(AND(S285&gt;=2,S285&lt;8),CONCATENATE(Q285," ","2-8"),)))</f>
        <v>0</v>
      </c>
      <c r="H285" s="80">
        <f t="shared" si="198"/>
        <v>0</v>
      </c>
      <c r="I285" s="80" t="str">
        <f t="shared" si="179"/>
        <v/>
      </c>
      <c r="J285" s="76"/>
      <c r="K285" s="76"/>
      <c r="L285" s="76"/>
      <c r="M285" s="80"/>
      <c r="N285" s="79"/>
      <c r="O285" s="148"/>
      <c r="P285" s="77">
        <f t="shared" si="180"/>
        <v>0</v>
      </c>
      <c r="Q285" s="81"/>
      <c r="R285" s="77"/>
      <c r="S285" s="146">
        <f t="shared" si="196"/>
        <v>0</v>
      </c>
      <c r="T285" s="141" t="b">
        <f t="shared" si="194"/>
        <v>0</v>
      </c>
      <c r="U285" s="649">
        <f t="shared" si="156"/>
        <v>0</v>
      </c>
      <c r="V285" s="650"/>
      <c r="W285" s="649">
        <f t="shared" si="157"/>
        <v>0</v>
      </c>
      <c r="X285" s="650"/>
      <c r="Y285" s="649">
        <f t="shared" si="158"/>
        <v>0</v>
      </c>
      <c r="Z285" s="650"/>
      <c r="AA285" s="649">
        <f t="shared" si="159"/>
        <v>0</v>
      </c>
      <c r="AB285" s="650"/>
      <c r="AC285" s="649">
        <f t="shared" si="160"/>
        <v>0</v>
      </c>
      <c r="AD285" s="650"/>
      <c r="AE285" s="649">
        <f t="shared" si="161"/>
        <v>0</v>
      </c>
      <c r="AF285" s="650"/>
      <c r="AG285" s="649">
        <f t="shared" si="162"/>
        <v>0</v>
      </c>
      <c r="AH285" s="650"/>
      <c r="AI285" s="649">
        <f t="shared" si="163"/>
        <v>0</v>
      </c>
      <c r="AJ285" s="650"/>
      <c r="AK285" s="649">
        <f t="shared" si="164"/>
        <v>0</v>
      </c>
      <c r="AL285" s="650"/>
      <c r="AM285" s="649">
        <f t="shared" si="165"/>
        <v>0</v>
      </c>
      <c r="AN285" s="650"/>
      <c r="AO285" s="649">
        <f t="shared" si="166"/>
        <v>0</v>
      </c>
      <c r="AP285" s="650"/>
      <c r="AQ285" s="649">
        <f t="shared" si="167"/>
        <v>0</v>
      </c>
      <c r="AR285" s="650"/>
      <c r="AS285" s="651">
        <f t="shared" si="168"/>
        <v>0</v>
      </c>
      <c r="AT285" s="652"/>
      <c r="AU285" s="141">
        <f t="shared" si="181"/>
        <v>0</v>
      </c>
      <c r="AV285" s="141">
        <f t="shared" si="182"/>
        <v>0</v>
      </c>
      <c r="AW285" s="141">
        <f t="shared" si="183"/>
        <v>0</v>
      </c>
      <c r="AX285" s="141">
        <f t="shared" si="184"/>
        <v>0</v>
      </c>
      <c r="AY285" s="141">
        <f t="shared" si="185"/>
        <v>0</v>
      </c>
      <c r="AZ285" s="141">
        <f t="shared" si="186"/>
        <v>0</v>
      </c>
      <c r="BA285" s="141">
        <f t="shared" si="187"/>
        <v>0</v>
      </c>
      <c r="BB285" s="141">
        <f t="shared" si="188"/>
        <v>0</v>
      </c>
      <c r="BC285" s="141">
        <f t="shared" si="189"/>
        <v>0</v>
      </c>
      <c r="BD285" s="141">
        <f t="shared" si="190"/>
        <v>0</v>
      </c>
      <c r="BE285" s="141">
        <f t="shared" si="191"/>
        <v>0</v>
      </c>
      <c r="BF285" s="141">
        <f t="shared" si="192"/>
        <v>0</v>
      </c>
      <c r="BG285" s="141">
        <f t="shared" si="169"/>
        <v>0</v>
      </c>
      <c r="BH285" s="141">
        <f t="shared" si="170"/>
        <v>0</v>
      </c>
      <c r="BI285" s="141">
        <f t="shared" si="193"/>
        <v>0</v>
      </c>
      <c r="BJ285" s="147">
        <f t="shared" si="171"/>
        <v>0</v>
      </c>
      <c r="BK285" s="141">
        <f t="shared" si="199"/>
        <v>0</v>
      </c>
      <c r="BL285" s="141">
        <f t="shared" si="200"/>
        <v>0</v>
      </c>
      <c r="BM285" s="141">
        <f t="shared" si="174"/>
        <v>0</v>
      </c>
      <c r="BN285" s="141">
        <f t="shared" si="175"/>
        <v>0</v>
      </c>
      <c r="BO285" s="141">
        <f t="shared" si="176"/>
        <v>0</v>
      </c>
      <c r="BP285" s="141">
        <f t="shared" si="177"/>
        <v>0</v>
      </c>
      <c r="BT285" s="177"/>
      <c r="BU285" s="173"/>
      <c r="BV285" s="174"/>
      <c r="BW285" s="117"/>
      <c r="BX285" s="180"/>
      <c r="BY285" s="117"/>
      <c r="BZ285" s="181"/>
      <c r="CA285" s="182"/>
      <c r="CB285" s="176"/>
      <c r="CC285" s="176"/>
      <c r="CF285" s="170"/>
      <c r="CG285" s="171"/>
      <c r="CH285" s="170"/>
      <c r="CI285" s="171"/>
    </row>
    <row r="286" spans="2:87" s="108" customFormat="1" ht="15" hidden="1" customHeight="1">
      <c r="B286" s="109"/>
      <c r="C286" s="141" t="e">
        <f t="shared" si="195"/>
        <v>#NUM!</v>
      </c>
      <c r="D286" s="141">
        <f t="shared" si="197"/>
        <v>0</v>
      </c>
      <c r="E286" s="141"/>
      <c r="F286" s="142">
        <f t="shared" si="178"/>
        <v>0</v>
      </c>
      <c r="G286" s="143" t="s">
        <v>146</v>
      </c>
      <c r="H286" s="80">
        <f t="shared" ref="H286:H304" si="201">IFERROR(VLOOKUP(I286,$CF$75:$CK$104,6,0),0)</f>
        <v>0</v>
      </c>
      <c r="I286" s="80" t="str">
        <f t="shared" ref="I286:I304" si="202">CONCATENATE(J286,Q286)</f>
        <v/>
      </c>
      <c r="J286" s="144"/>
      <c r="K286" s="144"/>
      <c r="L286" s="144"/>
      <c r="M286" s="76"/>
      <c r="N286" s="77"/>
      <c r="O286" s="145"/>
      <c r="P286" s="77">
        <f t="shared" ref="P286:P304" si="203">SQRT(((N286*O286)^2)+(N286^2))</f>
        <v>0</v>
      </c>
      <c r="Q286" s="78"/>
      <c r="R286" s="79"/>
      <c r="S286" s="146">
        <f t="shared" si="196"/>
        <v>0</v>
      </c>
      <c r="T286" s="141" t="b">
        <f t="shared" si="194"/>
        <v>0</v>
      </c>
      <c r="U286" s="649">
        <f t="shared" si="156"/>
        <v>0</v>
      </c>
      <c r="V286" s="650"/>
      <c r="W286" s="649">
        <f t="shared" si="157"/>
        <v>0</v>
      </c>
      <c r="X286" s="650"/>
      <c r="Y286" s="649">
        <f t="shared" si="158"/>
        <v>0</v>
      </c>
      <c r="Z286" s="650"/>
      <c r="AA286" s="649">
        <f t="shared" si="159"/>
        <v>0</v>
      </c>
      <c r="AB286" s="650"/>
      <c r="AC286" s="649">
        <f t="shared" si="160"/>
        <v>0</v>
      </c>
      <c r="AD286" s="650"/>
      <c r="AE286" s="649">
        <f t="shared" si="161"/>
        <v>0</v>
      </c>
      <c r="AF286" s="650"/>
      <c r="AG286" s="649">
        <f t="shared" si="162"/>
        <v>0</v>
      </c>
      <c r="AH286" s="650"/>
      <c r="AI286" s="649">
        <f t="shared" si="163"/>
        <v>0</v>
      </c>
      <c r="AJ286" s="650"/>
      <c r="AK286" s="649">
        <f t="shared" si="164"/>
        <v>0</v>
      </c>
      <c r="AL286" s="650"/>
      <c r="AM286" s="649">
        <f t="shared" si="165"/>
        <v>0</v>
      </c>
      <c r="AN286" s="650"/>
      <c r="AO286" s="649">
        <f t="shared" si="166"/>
        <v>0</v>
      </c>
      <c r="AP286" s="650"/>
      <c r="AQ286" s="649">
        <f t="shared" si="167"/>
        <v>0</v>
      </c>
      <c r="AR286" s="650"/>
      <c r="AS286" s="651">
        <f t="shared" si="168"/>
        <v>0</v>
      </c>
      <c r="AT286" s="652"/>
      <c r="AU286" s="141">
        <f t="shared" ref="AU286:AU304" si="204">IF((S286&lt;1.25),S286*P286*2,0)</f>
        <v>0</v>
      </c>
      <c r="AV286" s="141">
        <f t="shared" ref="AV286:AV304" si="205">IF(AND(L286="seco",S286&gt;=1.25,S286&lt;3),S286*P286*2,0)</f>
        <v>0</v>
      </c>
      <c r="AW286" s="141">
        <f t="shared" ref="AW286:AW304" si="206">IF(AND(L286="seco",S286&gt;=3),S286*P286*2,0)</f>
        <v>0</v>
      </c>
      <c r="AX286" s="141">
        <f t="shared" ref="AX286:AX304" si="207">IF(AND(L286="água",S286&gt;=1.25,S286&lt;4),S286*P286*2,0)</f>
        <v>0</v>
      </c>
      <c r="AY286" s="141">
        <f t="shared" ref="AY286:AY304" si="208">IF(AND(L286="água",S286&gt;=4,S286&lt;5),S286*P286*2,0)</f>
        <v>0</v>
      </c>
      <c r="AZ286" s="141">
        <f t="shared" ref="AZ286:AZ304" si="209">IF(AND(L286="água",S286&gt;=5),S286*P286*2,0)</f>
        <v>0</v>
      </c>
      <c r="BA286" s="141">
        <f t="shared" ref="BA286:BA304" si="210">SUM(U286:AT286)</f>
        <v>0</v>
      </c>
      <c r="BB286" s="141">
        <f t="shared" ref="BB286:BB304" si="211">BA286-((PI()*((Q286/2000)^2)*P286)+BG286+BH286+BK286+BF286)</f>
        <v>0</v>
      </c>
      <c r="BC286" s="141">
        <f t="shared" ref="BC286:BC304" si="212">IF(L286="ÁGUA",BA286,BA286-BB286)</f>
        <v>0</v>
      </c>
      <c r="BD286" s="141">
        <f t="shared" ref="BD286:BD304" si="213">IF(L286="ÁGUA",BB286,0)</f>
        <v>0</v>
      </c>
      <c r="BE286" s="141">
        <f t="shared" ref="BE286:BE304" si="214">IFERROR(P286*E286,0)</f>
        <v>0</v>
      </c>
      <c r="BF286" s="141">
        <f t="shared" ref="BF286:BF304" si="215">IF(OR(J286="PEAD",J286="PVC"),((((H286+Q286)/1000)+0.6)*E286*P286)-((PI()*((Q286/2000)^2)*P286)),0)</f>
        <v>0</v>
      </c>
      <c r="BG286" s="141">
        <f t="shared" si="169"/>
        <v>0</v>
      </c>
      <c r="BH286" s="141">
        <f t="shared" si="170"/>
        <v>0</v>
      </c>
      <c r="BI286" s="141">
        <f t="shared" ref="BI286:BI304" si="216">IF(L286="água",(P286),0)</f>
        <v>0</v>
      </c>
      <c r="BJ286" s="147">
        <f t="shared" ref="BJ286:BJ304" si="217">IFERROR(VLOOKUP(I286,$CF$75:$CI$104,4,0),0)</f>
        <v>0</v>
      </c>
      <c r="BK286" s="141">
        <f t="shared" si="199"/>
        <v>0</v>
      </c>
      <c r="BL286" s="141">
        <f t="shared" si="200"/>
        <v>0</v>
      </c>
      <c r="BM286" s="141">
        <f t="shared" si="174"/>
        <v>0</v>
      </c>
      <c r="BN286" s="141">
        <f t="shared" si="175"/>
        <v>0</v>
      </c>
      <c r="BO286" s="141">
        <f t="shared" si="176"/>
        <v>0</v>
      </c>
      <c r="BP286" s="141">
        <f t="shared" si="177"/>
        <v>0</v>
      </c>
      <c r="BT286" s="177"/>
      <c r="BU286" s="173"/>
      <c r="BV286" s="174"/>
      <c r="BW286" s="117"/>
      <c r="BX286" s="180"/>
      <c r="BY286" s="117"/>
      <c r="BZ286" s="181"/>
      <c r="CA286" s="182"/>
      <c r="CB286" s="176"/>
      <c r="CC286" s="176"/>
      <c r="CF286" s="170"/>
      <c r="CG286" s="171"/>
      <c r="CH286" s="170"/>
      <c r="CI286" s="171"/>
    </row>
    <row r="287" spans="2:87" s="108" customFormat="1" ht="15" hidden="1" customHeight="1">
      <c r="B287" s="109"/>
      <c r="C287" s="141" t="e">
        <f t="shared" ref="C287:C303" si="218">IF(AND(LARGE(Q286:Q288,1)&gt;=$A$11,LARGE(Q286:Q288,1)&lt;=$B$11),500,IF(AND(LARGE(Q286:Q288,1)&gt;=$A$12,LARGE(Q286:Q288,1)&lt;=$B$12),500,IF(AND(LARGE(Q286:Q288,1)&gt;=$A$13,LARGE(Q286:Q288,1)&lt;=$B$13),600,IF(AND(LARGE(Q286:Q288,1)&gt;=$A$14,LARGE(Q286:Q288,1)&lt;=$B$14),700,IF(AND(LARGE(Q286:Q288,1)&gt;=$A$15,LARGE(Q286:Q288,1)&lt;=$B$15),800,IF(AND(LARGE(Q286:Q288,1)&gt;=$A$16,LARGE(Q286:Q288,1)&lt;=$B$16),900,IF(AND(LARGE(Q286:Q288,1)&gt;=$A$17,LARGE(Q286:Q288,1)&lt;=$B$17),1000,IF(AND(LARGE(Q286:Q288,1)&gt;=$A$18,LARGE(Q286:Q288,1)&lt;=$B$18),1100,IF(AND(LARGE(Q286:Q288,1)&gt;=$A$19,LARGE(Q286:Q288,1)&lt;=$B$19),1200)))))))))</f>
        <v>#NUM!</v>
      </c>
      <c r="D287" s="141">
        <f t="shared" si="197"/>
        <v>0</v>
      </c>
      <c r="E287" s="141" t="str">
        <f>IFERROR(DGET($BV$30:$CC$82,F287,G286:G287),"")</f>
        <v/>
      </c>
      <c r="F287" s="142">
        <f t="shared" ref="F287:F304" si="219">IF(AV287&gt;0,$AV$25,IF(AW287&gt;0,$AW$25,IF(AX287&gt;0,$AX$25,IF(AY287&gt;0,$AY$25,IF(AZ287&gt;0,$AZ$25,IF(AU287&gt;0,$AU$25,0))))))</f>
        <v>0</v>
      </c>
      <c r="G287" s="142" t="b">
        <f>IF(Q287&gt;0,IF(AND(S287&gt;0,S287&lt;2),CONCATENATE(Q287," ","0-2"),IF(AND(S287&gt;=2,S287&lt;8),CONCATENATE(Q287," ","2-8"),)))</f>
        <v>0</v>
      </c>
      <c r="H287" s="80">
        <f t="shared" si="201"/>
        <v>0</v>
      </c>
      <c r="I287" s="80" t="str">
        <f t="shared" si="202"/>
        <v/>
      </c>
      <c r="J287" s="76"/>
      <c r="K287" s="76"/>
      <c r="L287" s="76"/>
      <c r="M287" s="80"/>
      <c r="N287" s="79"/>
      <c r="O287" s="148"/>
      <c r="P287" s="77">
        <f t="shared" si="203"/>
        <v>0</v>
      </c>
      <c r="Q287" s="81"/>
      <c r="R287" s="77"/>
      <c r="S287" s="146">
        <f t="shared" ref="S287:S303" si="220">IF(AND(L287="água"),((R286+R288)/2)+((H287/1000))+BJ287+VLOOKUP(Q287,$CH$31:$CI$52,2,0)+VLOOKUP(Q287,$CF$31:$CG$52,2,0),IF(Q287&gt;0,((R286+R288)/2)+((H287/1000))+BJ287,0))</f>
        <v>0</v>
      </c>
      <c r="T287" s="141" t="b">
        <f t="shared" ref="T287:T304" si="221">IF(R287&gt;0,IF(R287&gt;=1.5,R287-1.5,0))</f>
        <v>0</v>
      </c>
      <c r="U287" s="649">
        <f t="shared" ref="U287:U304" si="222">IFERROR(IF(L287="SECO",IF(AND(S287&gt;$U$27,S287&lt;=$V$27),(P287*S287*E287),IF(S287&gt;=$V$27,(($V$27-$U$27)*P287*E287),0))*$BU$17,0),0)</f>
        <v>0</v>
      </c>
      <c r="V287" s="650"/>
      <c r="W287" s="649">
        <f t="shared" ref="W287:W304" si="223">IFERROR(IF(L287="SECO",IF(AND(S287&gt;$W$27,S287&lt;=$X$27),(P287*(S287-$V$27)*E287),IF(S287&gt;=$X$27,(($X$27-$W$27)*P287*E287),0))*$BU$17,0),0)</f>
        <v>0</v>
      </c>
      <c r="X287" s="650"/>
      <c r="Y287" s="649">
        <f t="shared" ref="Y287:Y304" si="224">IFERROR(IF(L287="SECO",IF(AND(S287&gt;$Y$27,S287&lt;=$Z$27),(P287*(S287-$X$27)*E287),IF(S287&gt;=$Z$27,(($Z$27-$Y$27)*P287*E287),0))*$BU$17,0),0)</f>
        <v>0</v>
      </c>
      <c r="Z287" s="650"/>
      <c r="AA287" s="649">
        <f t="shared" ref="AA287:AA304" si="225">IFERROR(IF(L287="SECO",IF(AND(S287&gt;$AA$27,S287&lt;=$AB$27),(P287*S287*E287),IF(S287&gt;=$AB$27,(($AB$27-$AA$27)*P287*E287),0))*$BU$19,0),0)</f>
        <v>0</v>
      </c>
      <c r="AB287" s="650"/>
      <c r="AC287" s="649">
        <f t="shared" ref="AC287:AC304" si="226">IFERROR(IF(L287="SECO",IF(AND(S287&gt;$AC$27,S287&lt;=$AD$27),(P287*(S287-$AB$27)*E287),IF(S287&gt;=$AD$27,(($AD$27-$AC$27)*P287*E287),0))*$BU$19,0),0)</f>
        <v>0</v>
      </c>
      <c r="AD287" s="650"/>
      <c r="AE287" s="649">
        <f t="shared" ref="AE287:AE304" si="227">IFERROR(IF(L287="SECO",IF(AND(S287&gt;$AE$27,S287&lt;=$AF$27),(P287*(S287-$AD$27)*E287),IF(S287&gt;=$AF$27,(($AF$27-$AE$27)*P287*E287),0))*$BU$19,0),0)</f>
        <v>0</v>
      </c>
      <c r="AF287" s="650"/>
      <c r="AG287" s="649">
        <f t="shared" ref="AG287:AG304" si="228">IFERROR(IF(L287="SECO",IF(AND(S287&gt;$AG$27,S287&lt;=$AH$27),(P287*(S287-$AF$27)*E287),IF(S287&gt;=$AH$27,(($AH$27-$AG$27)*P287*E287),0))*($BU$19+$BU$17),0),0)</f>
        <v>0</v>
      </c>
      <c r="AH287" s="650"/>
      <c r="AI287" s="649">
        <f t="shared" ref="AI287:AI304" si="229">IFERROR(IF(L287="ÁGUA",IF(AND(S287&gt;$AI$27,S287&lt;=$AJ$27),(P287*S287*E287),IF(S287&gt;=$AJ$27,(($AJ$27-$AI$27)*P287*E287),0))*$BU$17,0),0)</f>
        <v>0</v>
      </c>
      <c r="AJ287" s="650"/>
      <c r="AK287" s="649">
        <f t="shared" ref="AK287:AK304" si="230">IFERROR(IF(L287="ÁGUA",IF(AND(S287&gt;$AK$27,S287&lt;=$AL$27),(P287*(S287-$AJ$27)*E287),IF(S287&gt;=$AL$27,(($AL$27-$AK$27)*P287*E287),0))*$BU$17,0),0)</f>
        <v>0</v>
      </c>
      <c r="AL287" s="650"/>
      <c r="AM287" s="649">
        <f t="shared" ref="AM287:AM304" si="231">IFERROR(IF(L287="ÁGUA",IF(AND(S287&gt;$AM$27,S287&lt;=$AN$27),(P287*S287*E287),IF(S287&gt;=$AN$27,(($AN$27-$AM$27)*P287*E287),0))*$BU$19,0),0)</f>
        <v>0</v>
      </c>
      <c r="AN287" s="650"/>
      <c r="AO287" s="649">
        <f t="shared" ref="AO287:AO304" si="232">IFERROR(IF(L287="ÁGUA",IF(AND(S287&gt;$AO$27,S287&lt;=$AP$27),(P287*(S287-$AN$27)*E287),IF(S287&gt;=$AP$27,(($AP$27-$AO$27)*P287*E287),0))*$BU$19,0),0)</f>
        <v>0</v>
      </c>
      <c r="AP287" s="650"/>
      <c r="AQ287" s="649">
        <f t="shared" ref="AQ287:AQ304" si="233">IFERROR(IF(L287="ÁGUA",IF(AND(S287&gt;$AQ$27,S287&lt;=$AR$27),(P287*(S287-$AP$27)*E287),IF(S287&gt;=$AR$27,(($AR$27-$AQ$27)*P287*E287),0))*($BU$19+$BU$17),0),0)</f>
        <v>0</v>
      </c>
      <c r="AR287" s="650"/>
      <c r="AS287" s="651">
        <f t="shared" ref="AS287:AS304" si="234">IFERROR(IF(L287="ÁGUA",IF(AND(S287&gt;$AS$27,S287&lt;=$AT$27),(P287*(S287-$AR$27)*E287),IF(S287&gt;=$AT$27,(($AT$27-$AS$27)*P287*E287),0))*($BU$19+$BU$17),0),0)</f>
        <v>0</v>
      </c>
      <c r="AT287" s="652"/>
      <c r="AU287" s="141">
        <f t="shared" si="204"/>
        <v>0</v>
      </c>
      <c r="AV287" s="141">
        <f t="shared" si="205"/>
        <v>0</v>
      </c>
      <c r="AW287" s="141">
        <f t="shared" si="206"/>
        <v>0</v>
      </c>
      <c r="AX287" s="141">
        <f t="shared" si="207"/>
        <v>0</v>
      </c>
      <c r="AY287" s="141">
        <f t="shared" si="208"/>
        <v>0</v>
      </c>
      <c r="AZ287" s="141">
        <f t="shared" si="209"/>
        <v>0</v>
      </c>
      <c r="BA287" s="141">
        <f t="shared" si="210"/>
        <v>0</v>
      </c>
      <c r="BB287" s="141">
        <f t="shared" si="211"/>
        <v>0</v>
      </c>
      <c r="BC287" s="141">
        <f t="shared" si="212"/>
        <v>0</v>
      </c>
      <c r="BD287" s="141">
        <f t="shared" si="213"/>
        <v>0</v>
      </c>
      <c r="BE287" s="141">
        <f t="shared" si="214"/>
        <v>0</v>
      </c>
      <c r="BF287" s="141">
        <f t="shared" si="215"/>
        <v>0</v>
      </c>
      <c r="BG287" s="141">
        <f t="shared" ref="BG287:BG304" si="235">IF(L287="água",(VLOOKUP(Q287,$CF$31:$CG$52,2,0)*E287*P287),0)</f>
        <v>0</v>
      </c>
      <c r="BH287" s="141">
        <f t="shared" ref="BH287:BH304" si="236">IF(L287="água",(VLOOKUP(Q287,$CH$31:$CI$52,2,0)*E287*P287),0)</f>
        <v>0</v>
      </c>
      <c r="BI287" s="141">
        <f t="shared" si="216"/>
        <v>0</v>
      </c>
      <c r="BJ287" s="147">
        <f t="shared" si="217"/>
        <v>0</v>
      </c>
      <c r="BK287" s="141">
        <f t="shared" si="199"/>
        <v>0</v>
      </c>
      <c r="BL287" s="141">
        <f t="shared" si="200"/>
        <v>0</v>
      </c>
      <c r="BM287" s="141">
        <f t="shared" ref="BM287:BM304" si="237">IF(K287=$BM$27,P287*E287,0)</f>
        <v>0</v>
      </c>
      <c r="BN287" s="141">
        <f t="shared" ref="BN287:BN304" si="238">IF(K287=$BN$27,P287*E287,0)</f>
        <v>0</v>
      </c>
      <c r="BO287" s="141">
        <f t="shared" ref="BO287:BO304" si="239">IF(K287=$BO$27,P287*E287,0)</f>
        <v>0</v>
      </c>
      <c r="BP287" s="141">
        <f t="shared" ref="BP287:BP304" si="240">IF(K287=$BP$27,P287*E287,0)</f>
        <v>0</v>
      </c>
      <c r="BT287" s="177"/>
      <c r="BU287" s="173"/>
      <c r="BV287" s="174"/>
      <c r="BW287" s="117"/>
      <c r="BX287" s="180"/>
      <c r="BY287" s="117"/>
      <c r="BZ287" s="181"/>
      <c r="CA287" s="182"/>
      <c r="CB287" s="176"/>
      <c r="CC287" s="176"/>
      <c r="CF287" s="170"/>
      <c r="CG287" s="171"/>
      <c r="CH287" s="170"/>
      <c r="CI287" s="171"/>
    </row>
    <row r="288" spans="2:87" s="108" customFormat="1" ht="15" hidden="1" customHeight="1">
      <c r="B288" s="109"/>
      <c r="C288" s="141" t="e">
        <f t="shared" si="218"/>
        <v>#NUM!</v>
      </c>
      <c r="D288" s="141">
        <f t="shared" si="197"/>
        <v>0</v>
      </c>
      <c r="E288" s="141"/>
      <c r="F288" s="142">
        <f t="shared" si="219"/>
        <v>0</v>
      </c>
      <c r="G288" s="143" t="s">
        <v>146</v>
      </c>
      <c r="H288" s="80">
        <f t="shared" si="201"/>
        <v>0</v>
      </c>
      <c r="I288" s="80" t="str">
        <f t="shared" si="202"/>
        <v/>
      </c>
      <c r="J288" s="144"/>
      <c r="K288" s="144"/>
      <c r="L288" s="144"/>
      <c r="M288" s="76"/>
      <c r="N288" s="77"/>
      <c r="O288" s="145"/>
      <c r="P288" s="77">
        <f t="shared" si="203"/>
        <v>0</v>
      </c>
      <c r="Q288" s="78"/>
      <c r="R288" s="79"/>
      <c r="S288" s="146">
        <f t="shared" si="220"/>
        <v>0</v>
      </c>
      <c r="T288" s="141" t="b">
        <f t="shared" si="221"/>
        <v>0</v>
      </c>
      <c r="U288" s="649">
        <f t="shared" si="222"/>
        <v>0</v>
      </c>
      <c r="V288" s="650"/>
      <c r="W288" s="649">
        <f t="shared" si="223"/>
        <v>0</v>
      </c>
      <c r="X288" s="650"/>
      <c r="Y288" s="649">
        <f t="shared" si="224"/>
        <v>0</v>
      </c>
      <c r="Z288" s="650"/>
      <c r="AA288" s="649">
        <f t="shared" si="225"/>
        <v>0</v>
      </c>
      <c r="AB288" s="650"/>
      <c r="AC288" s="649">
        <f t="shared" si="226"/>
        <v>0</v>
      </c>
      <c r="AD288" s="650"/>
      <c r="AE288" s="649">
        <f t="shared" si="227"/>
        <v>0</v>
      </c>
      <c r="AF288" s="650"/>
      <c r="AG288" s="649">
        <f t="shared" si="228"/>
        <v>0</v>
      </c>
      <c r="AH288" s="650"/>
      <c r="AI288" s="649">
        <f t="shared" si="229"/>
        <v>0</v>
      </c>
      <c r="AJ288" s="650"/>
      <c r="AK288" s="649">
        <f t="shared" si="230"/>
        <v>0</v>
      </c>
      <c r="AL288" s="650"/>
      <c r="AM288" s="649">
        <f t="shared" si="231"/>
        <v>0</v>
      </c>
      <c r="AN288" s="650"/>
      <c r="AO288" s="649">
        <f t="shared" si="232"/>
        <v>0</v>
      </c>
      <c r="AP288" s="650"/>
      <c r="AQ288" s="649">
        <f t="shared" si="233"/>
        <v>0</v>
      </c>
      <c r="AR288" s="650"/>
      <c r="AS288" s="651">
        <f t="shared" si="234"/>
        <v>0</v>
      </c>
      <c r="AT288" s="652"/>
      <c r="AU288" s="141">
        <f t="shared" si="204"/>
        <v>0</v>
      </c>
      <c r="AV288" s="141">
        <f t="shared" si="205"/>
        <v>0</v>
      </c>
      <c r="AW288" s="141">
        <f t="shared" si="206"/>
        <v>0</v>
      </c>
      <c r="AX288" s="141">
        <f t="shared" si="207"/>
        <v>0</v>
      </c>
      <c r="AY288" s="141">
        <f t="shared" si="208"/>
        <v>0</v>
      </c>
      <c r="AZ288" s="141">
        <f t="shared" si="209"/>
        <v>0</v>
      </c>
      <c r="BA288" s="141">
        <f t="shared" si="210"/>
        <v>0</v>
      </c>
      <c r="BB288" s="141">
        <f t="shared" si="211"/>
        <v>0</v>
      </c>
      <c r="BC288" s="141">
        <f t="shared" si="212"/>
        <v>0</v>
      </c>
      <c r="BD288" s="141">
        <f t="shared" si="213"/>
        <v>0</v>
      </c>
      <c r="BE288" s="141">
        <f t="shared" si="214"/>
        <v>0</v>
      </c>
      <c r="BF288" s="141">
        <f t="shared" si="215"/>
        <v>0</v>
      </c>
      <c r="BG288" s="141">
        <f t="shared" si="235"/>
        <v>0</v>
      </c>
      <c r="BH288" s="141">
        <f t="shared" si="236"/>
        <v>0</v>
      </c>
      <c r="BI288" s="141">
        <f t="shared" si="216"/>
        <v>0</v>
      </c>
      <c r="BJ288" s="147">
        <f t="shared" si="217"/>
        <v>0</v>
      </c>
      <c r="BK288" s="141">
        <f t="shared" si="199"/>
        <v>0</v>
      </c>
      <c r="BL288" s="141">
        <f t="shared" si="200"/>
        <v>0</v>
      </c>
      <c r="BM288" s="141">
        <f t="shared" si="237"/>
        <v>0</v>
      </c>
      <c r="BN288" s="141">
        <f t="shared" si="238"/>
        <v>0</v>
      </c>
      <c r="BO288" s="141">
        <f t="shared" si="239"/>
        <v>0</v>
      </c>
      <c r="BP288" s="141">
        <f t="shared" si="240"/>
        <v>0</v>
      </c>
      <c r="BT288" s="177"/>
      <c r="BU288" s="173"/>
      <c r="BV288" s="174"/>
      <c r="BW288" s="117"/>
      <c r="BX288" s="180"/>
      <c r="BY288" s="117"/>
      <c r="BZ288" s="181"/>
      <c r="CA288" s="182"/>
      <c r="CB288" s="176"/>
      <c r="CC288" s="176"/>
      <c r="CF288" s="170"/>
      <c r="CG288" s="171"/>
      <c r="CH288" s="170"/>
      <c r="CI288" s="171"/>
    </row>
    <row r="289" spans="2:87" s="108" customFormat="1" ht="15" hidden="1" customHeight="1">
      <c r="B289" s="109"/>
      <c r="C289" s="141" t="e">
        <f t="shared" si="218"/>
        <v>#NUM!</v>
      </c>
      <c r="D289" s="141">
        <f t="shared" si="197"/>
        <v>0</v>
      </c>
      <c r="E289" s="141" t="str">
        <f>IFERROR(DGET($BV$30:$CC$82,F289,G288:G289),"")</f>
        <v/>
      </c>
      <c r="F289" s="142">
        <f t="shared" si="219"/>
        <v>0</v>
      </c>
      <c r="G289" s="142" t="b">
        <f>IF(Q289&gt;0,IF(AND(S289&gt;0,S289&lt;2),CONCATENATE(Q289," ","0-2"),IF(AND(S289&gt;=2,S289&lt;8),CONCATENATE(Q289," ","2-8"),)))</f>
        <v>0</v>
      </c>
      <c r="H289" s="80">
        <f t="shared" si="201"/>
        <v>0</v>
      </c>
      <c r="I289" s="80" t="str">
        <f t="shared" si="202"/>
        <v/>
      </c>
      <c r="J289" s="76"/>
      <c r="K289" s="76"/>
      <c r="L289" s="76"/>
      <c r="M289" s="80"/>
      <c r="N289" s="79"/>
      <c r="O289" s="148"/>
      <c r="P289" s="77">
        <f t="shared" si="203"/>
        <v>0</v>
      </c>
      <c r="Q289" s="81"/>
      <c r="R289" s="77"/>
      <c r="S289" s="146">
        <f t="shared" si="220"/>
        <v>0</v>
      </c>
      <c r="T289" s="141" t="b">
        <f t="shared" si="221"/>
        <v>0</v>
      </c>
      <c r="U289" s="649">
        <f t="shared" si="222"/>
        <v>0</v>
      </c>
      <c r="V289" s="650"/>
      <c r="W289" s="649">
        <f t="shared" si="223"/>
        <v>0</v>
      </c>
      <c r="X289" s="650"/>
      <c r="Y289" s="649">
        <f t="shared" si="224"/>
        <v>0</v>
      </c>
      <c r="Z289" s="650"/>
      <c r="AA289" s="649">
        <f t="shared" si="225"/>
        <v>0</v>
      </c>
      <c r="AB289" s="650"/>
      <c r="AC289" s="649">
        <f t="shared" si="226"/>
        <v>0</v>
      </c>
      <c r="AD289" s="650"/>
      <c r="AE289" s="649">
        <f t="shared" si="227"/>
        <v>0</v>
      </c>
      <c r="AF289" s="650"/>
      <c r="AG289" s="649">
        <f t="shared" si="228"/>
        <v>0</v>
      </c>
      <c r="AH289" s="650"/>
      <c r="AI289" s="649">
        <f t="shared" si="229"/>
        <v>0</v>
      </c>
      <c r="AJ289" s="650"/>
      <c r="AK289" s="649">
        <f t="shared" si="230"/>
        <v>0</v>
      </c>
      <c r="AL289" s="650"/>
      <c r="AM289" s="649">
        <f t="shared" si="231"/>
        <v>0</v>
      </c>
      <c r="AN289" s="650"/>
      <c r="AO289" s="649">
        <f t="shared" si="232"/>
        <v>0</v>
      </c>
      <c r="AP289" s="650"/>
      <c r="AQ289" s="649">
        <f t="shared" si="233"/>
        <v>0</v>
      </c>
      <c r="AR289" s="650"/>
      <c r="AS289" s="651">
        <f t="shared" si="234"/>
        <v>0</v>
      </c>
      <c r="AT289" s="652"/>
      <c r="AU289" s="141">
        <f t="shared" si="204"/>
        <v>0</v>
      </c>
      <c r="AV289" s="141">
        <f t="shared" si="205"/>
        <v>0</v>
      </c>
      <c r="AW289" s="141">
        <f t="shared" si="206"/>
        <v>0</v>
      </c>
      <c r="AX289" s="141">
        <f t="shared" si="207"/>
        <v>0</v>
      </c>
      <c r="AY289" s="141">
        <f t="shared" si="208"/>
        <v>0</v>
      </c>
      <c r="AZ289" s="141">
        <f t="shared" si="209"/>
        <v>0</v>
      </c>
      <c r="BA289" s="141">
        <f t="shared" si="210"/>
        <v>0</v>
      </c>
      <c r="BB289" s="141">
        <f t="shared" si="211"/>
        <v>0</v>
      </c>
      <c r="BC289" s="141">
        <f t="shared" si="212"/>
        <v>0</v>
      </c>
      <c r="BD289" s="141">
        <f t="shared" si="213"/>
        <v>0</v>
      </c>
      <c r="BE289" s="141">
        <f t="shared" si="214"/>
        <v>0</v>
      </c>
      <c r="BF289" s="141">
        <f t="shared" si="215"/>
        <v>0</v>
      </c>
      <c r="BG289" s="141">
        <f t="shared" si="235"/>
        <v>0</v>
      </c>
      <c r="BH289" s="141">
        <f t="shared" si="236"/>
        <v>0</v>
      </c>
      <c r="BI289" s="141">
        <f t="shared" si="216"/>
        <v>0</v>
      </c>
      <c r="BJ289" s="147">
        <f t="shared" si="217"/>
        <v>0</v>
      </c>
      <c r="BK289" s="141">
        <f t="shared" si="199"/>
        <v>0</v>
      </c>
      <c r="BL289" s="141">
        <f t="shared" si="200"/>
        <v>0</v>
      </c>
      <c r="BM289" s="141">
        <f t="shared" si="237"/>
        <v>0</v>
      </c>
      <c r="BN289" s="141">
        <f t="shared" si="238"/>
        <v>0</v>
      </c>
      <c r="BO289" s="141">
        <f t="shared" si="239"/>
        <v>0</v>
      </c>
      <c r="BP289" s="141">
        <f t="shared" si="240"/>
        <v>0</v>
      </c>
      <c r="BT289" s="177"/>
      <c r="BU289" s="173"/>
      <c r="BV289" s="174"/>
      <c r="BW289" s="117"/>
      <c r="BX289" s="180"/>
      <c r="BY289" s="117"/>
      <c r="BZ289" s="181"/>
      <c r="CA289" s="182"/>
      <c r="CB289" s="176"/>
      <c r="CC289" s="176"/>
      <c r="CF289" s="170"/>
      <c r="CG289" s="171"/>
      <c r="CH289" s="170"/>
      <c r="CI289" s="171"/>
    </row>
    <row r="290" spans="2:87" s="108" customFormat="1" ht="15" hidden="1" customHeight="1">
      <c r="B290" s="109"/>
      <c r="C290" s="141" t="e">
        <f t="shared" si="218"/>
        <v>#NUM!</v>
      </c>
      <c r="D290" s="141">
        <f t="shared" si="197"/>
        <v>0</v>
      </c>
      <c r="E290" s="141"/>
      <c r="F290" s="142">
        <f t="shared" si="219"/>
        <v>0</v>
      </c>
      <c r="G290" s="143" t="s">
        <v>146</v>
      </c>
      <c r="H290" s="80">
        <f t="shared" si="201"/>
        <v>0</v>
      </c>
      <c r="I290" s="80" t="str">
        <f t="shared" si="202"/>
        <v/>
      </c>
      <c r="J290" s="144"/>
      <c r="K290" s="144"/>
      <c r="L290" s="144"/>
      <c r="M290" s="76"/>
      <c r="N290" s="77"/>
      <c r="O290" s="145"/>
      <c r="P290" s="77">
        <f t="shared" si="203"/>
        <v>0</v>
      </c>
      <c r="Q290" s="78"/>
      <c r="R290" s="79"/>
      <c r="S290" s="146">
        <f t="shared" si="220"/>
        <v>0</v>
      </c>
      <c r="T290" s="141" t="b">
        <f t="shared" si="221"/>
        <v>0</v>
      </c>
      <c r="U290" s="649">
        <f t="shared" si="222"/>
        <v>0</v>
      </c>
      <c r="V290" s="650"/>
      <c r="W290" s="649">
        <f t="shared" si="223"/>
        <v>0</v>
      </c>
      <c r="X290" s="650"/>
      <c r="Y290" s="649">
        <f t="shared" si="224"/>
        <v>0</v>
      </c>
      <c r="Z290" s="650"/>
      <c r="AA290" s="649">
        <f t="shared" si="225"/>
        <v>0</v>
      </c>
      <c r="AB290" s="650"/>
      <c r="AC290" s="649">
        <f t="shared" si="226"/>
        <v>0</v>
      </c>
      <c r="AD290" s="650"/>
      <c r="AE290" s="649">
        <f t="shared" si="227"/>
        <v>0</v>
      </c>
      <c r="AF290" s="650"/>
      <c r="AG290" s="649">
        <f t="shared" si="228"/>
        <v>0</v>
      </c>
      <c r="AH290" s="650"/>
      <c r="AI290" s="649">
        <f t="shared" si="229"/>
        <v>0</v>
      </c>
      <c r="AJ290" s="650"/>
      <c r="AK290" s="649">
        <f t="shared" si="230"/>
        <v>0</v>
      </c>
      <c r="AL290" s="650"/>
      <c r="AM290" s="649">
        <f t="shared" si="231"/>
        <v>0</v>
      </c>
      <c r="AN290" s="650"/>
      <c r="AO290" s="649">
        <f t="shared" si="232"/>
        <v>0</v>
      </c>
      <c r="AP290" s="650"/>
      <c r="AQ290" s="649">
        <f t="shared" si="233"/>
        <v>0</v>
      </c>
      <c r="AR290" s="650"/>
      <c r="AS290" s="651">
        <f t="shared" si="234"/>
        <v>0</v>
      </c>
      <c r="AT290" s="652"/>
      <c r="AU290" s="141">
        <f t="shared" si="204"/>
        <v>0</v>
      </c>
      <c r="AV290" s="141">
        <f t="shared" si="205"/>
        <v>0</v>
      </c>
      <c r="AW290" s="141">
        <f t="shared" si="206"/>
        <v>0</v>
      </c>
      <c r="AX290" s="141">
        <f t="shared" si="207"/>
        <v>0</v>
      </c>
      <c r="AY290" s="141">
        <f t="shared" si="208"/>
        <v>0</v>
      </c>
      <c r="AZ290" s="141">
        <f t="shared" si="209"/>
        <v>0</v>
      </c>
      <c r="BA290" s="141">
        <f t="shared" si="210"/>
        <v>0</v>
      </c>
      <c r="BB290" s="141">
        <f t="shared" si="211"/>
        <v>0</v>
      </c>
      <c r="BC290" s="141">
        <f t="shared" si="212"/>
        <v>0</v>
      </c>
      <c r="BD290" s="141">
        <f t="shared" si="213"/>
        <v>0</v>
      </c>
      <c r="BE290" s="141">
        <f t="shared" si="214"/>
        <v>0</v>
      </c>
      <c r="BF290" s="141">
        <f t="shared" si="215"/>
        <v>0</v>
      </c>
      <c r="BG290" s="141">
        <f t="shared" si="235"/>
        <v>0</v>
      </c>
      <c r="BH290" s="141">
        <f t="shared" si="236"/>
        <v>0</v>
      </c>
      <c r="BI290" s="141">
        <f t="shared" si="216"/>
        <v>0</v>
      </c>
      <c r="BJ290" s="147">
        <f t="shared" si="217"/>
        <v>0</v>
      </c>
      <c r="BK290" s="141">
        <f t="shared" si="199"/>
        <v>0</v>
      </c>
      <c r="BL290" s="141">
        <f t="shared" si="200"/>
        <v>0</v>
      </c>
      <c r="BM290" s="141">
        <f t="shared" si="237"/>
        <v>0</v>
      </c>
      <c r="BN290" s="141">
        <f t="shared" si="238"/>
        <v>0</v>
      </c>
      <c r="BO290" s="141">
        <f t="shared" si="239"/>
        <v>0</v>
      </c>
      <c r="BP290" s="141">
        <f t="shared" si="240"/>
        <v>0</v>
      </c>
      <c r="BT290" s="177"/>
      <c r="BU290" s="173"/>
      <c r="BV290" s="174"/>
      <c r="BW290" s="117"/>
      <c r="BX290" s="180"/>
      <c r="BY290" s="117"/>
      <c r="BZ290" s="181"/>
      <c r="CA290" s="182"/>
      <c r="CB290" s="176"/>
      <c r="CC290" s="176"/>
      <c r="CF290" s="170"/>
      <c r="CG290" s="171"/>
      <c r="CH290" s="170"/>
      <c r="CI290" s="171"/>
    </row>
    <row r="291" spans="2:87" s="108" customFormat="1" ht="15" hidden="1" customHeight="1">
      <c r="B291" s="109"/>
      <c r="C291" s="141" t="e">
        <f t="shared" si="218"/>
        <v>#NUM!</v>
      </c>
      <c r="D291" s="141">
        <f t="shared" si="197"/>
        <v>0</v>
      </c>
      <c r="E291" s="141" t="str">
        <f>IFERROR(DGET($BV$30:$CC$82,F291,G290:G291),"")</f>
        <v/>
      </c>
      <c r="F291" s="142">
        <f t="shared" si="219"/>
        <v>0</v>
      </c>
      <c r="G291" s="142" t="b">
        <f>IF(Q291&gt;0,IF(AND(S291&gt;0,S291&lt;2),CONCATENATE(Q291," ","0-2"),IF(AND(S291&gt;=2,S291&lt;8),CONCATENATE(Q291," ","2-8"),)))</f>
        <v>0</v>
      </c>
      <c r="H291" s="80">
        <f t="shared" si="201"/>
        <v>0</v>
      </c>
      <c r="I291" s="80" t="str">
        <f t="shared" si="202"/>
        <v/>
      </c>
      <c r="J291" s="76"/>
      <c r="K291" s="76"/>
      <c r="L291" s="76"/>
      <c r="M291" s="80"/>
      <c r="N291" s="79"/>
      <c r="O291" s="148"/>
      <c r="P291" s="77">
        <f t="shared" si="203"/>
        <v>0</v>
      </c>
      <c r="Q291" s="81"/>
      <c r="R291" s="77"/>
      <c r="S291" s="146">
        <f t="shared" si="220"/>
        <v>0</v>
      </c>
      <c r="T291" s="141" t="b">
        <f t="shared" si="221"/>
        <v>0</v>
      </c>
      <c r="U291" s="649">
        <f t="shared" si="222"/>
        <v>0</v>
      </c>
      <c r="V291" s="650"/>
      <c r="W291" s="649">
        <f t="shared" si="223"/>
        <v>0</v>
      </c>
      <c r="X291" s="650"/>
      <c r="Y291" s="649">
        <f t="shared" si="224"/>
        <v>0</v>
      </c>
      <c r="Z291" s="650"/>
      <c r="AA291" s="649">
        <f t="shared" si="225"/>
        <v>0</v>
      </c>
      <c r="AB291" s="650"/>
      <c r="AC291" s="649">
        <f t="shared" si="226"/>
        <v>0</v>
      </c>
      <c r="AD291" s="650"/>
      <c r="AE291" s="649">
        <f t="shared" si="227"/>
        <v>0</v>
      </c>
      <c r="AF291" s="650"/>
      <c r="AG291" s="649">
        <f t="shared" si="228"/>
        <v>0</v>
      </c>
      <c r="AH291" s="650"/>
      <c r="AI291" s="649">
        <f t="shared" si="229"/>
        <v>0</v>
      </c>
      <c r="AJ291" s="650"/>
      <c r="AK291" s="649">
        <f t="shared" si="230"/>
        <v>0</v>
      </c>
      <c r="AL291" s="650"/>
      <c r="AM291" s="649">
        <f t="shared" si="231"/>
        <v>0</v>
      </c>
      <c r="AN291" s="650"/>
      <c r="AO291" s="649">
        <f t="shared" si="232"/>
        <v>0</v>
      </c>
      <c r="AP291" s="650"/>
      <c r="AQ291" s="649">
        <f t="shared" si="233"/>
        <v>0</v>
      </c>
      <c r="AR291" s="650"/>
      <c r="AS291" s="651">
        <f t="shared" si="234"/>
        <v>0</v>
      </c>
      <c r="AT291" s="652"/>
      <c r="AU291" s="141">
        <f t="shared" si="204"/>
        <v>0</v>
      </c>
      <c r="AV291" s="141">
        <f t="shared" si="205"/>
        <v>0</v>
      </c>
      <c r="AW291" s="141">
        <f t="shared" si="206"/>
        <v>0</v>
      </c>
      <c r="AX291" s="141">
        <f t="shared" si="207"/>
        <v>0</v>
      </c>
      <c r="AY291" s="141">
        <f t="shared" si="208"/>
        <v>0</v>
      </c>
      <c r="AZ291" s="141">
        <f t="shared" si="209"/>
        <v>0</v>
      </c>
      <c r="BA291" s="141">
        <f t="shared" si="210"/>
        <v>0</v>
      </c>
      <c r="BB291" s="141">
        <f t="shared" si="211"/>
        <v>0</v>
      </c>
      <c r="BC291" s="141">
        <f t="shared" si="212"/>
        <v>0</v>
      </c>
      <c r="BD291" s="141">
        <f t="shared" si="213"/>
        <v>0</v>
      </c>
      <c r="BE291" s="141">
        <f t="shared" si="214"/>
        <v>0</v>
      </c>
      <c r="BF291" s="141">
        <f t="shared" si="215"/>
        <v>0</v>
      </c>
      <c r="BG291" s="141">
        <f t="shared" si="235"/>
        <v>0</v>
      </c>
      <c r="BH291" s="141">
        <f t="shared" si="236"/>
        <v>0</v>
      </c>
      <c r="BI291" s="141">
        <f t="shared" si="216"/>
        <v>0</v>
      </c>
      <c r="BJ291" s="147">
        <f t="shared" si="217"/>
        <v>0</v>
      </c>
      <c r="BK291" s="141">
        <f t="shared" si="199"/>
        <v>0</v>
      </c>
      <c r="BL291" s="141">
        <f t="shared" si="200"/>
        <v>0</v>
      </c>
      <c r="BM291" s="141">
        <f t="shared" si="237"/>
        <v>0</v>
      </c>
      <c r="BN291" s="141">
        <f t="shared" si="238"/>
        <v>0</v>
      </c>
      <c r="BO291" s="141">
        <f t="shared" si="239"/>
        <v>0</v>
      </c>
      <c r="BP291" s="141">
        <f t="shared" si="240"/>
        <v>0</v>
      </c>
      <c r="BT291" s="177"/>
      <c r="BU291" s="173"/>
      <c r="BV291" s="174"/>
      <c r="BW291" s="117"/>
      <c r="BX291" s="180"/>
      <c r="BY291" s="117"/>
      <c r="BZ291" s="181"/>
      <c r="CA291" s="182"/>
      <c r="CB291" s="176"/>
      <c r="CC291" s="176"/>
      <c r="CF291" s="170"/>
      <c r="CG291" s="171"/>
      <c r="CH291" s="170"/>
      <c r="CI291" s="171"/>
    </row>
    <row r="292" spans="2:87" s="108" customFormat="1" ht="15" hidden="1" customHeight="1">
      <c r="B292" s="109"/>
      <c r="C292" s="141" t="e">
        <f t="shared" si="218"/>
        <v>#NUM!</v>
      </c>
      <c r="D292" s="141">
        <f t="shared" si="197"/>
        <v>0</v>
      </c>
      <c r="E292" s="141"/>
      <c r="F292" s="142">
        <f t="shared" si="219"/>
        <v>0</v>
      </c>
      <c r="G292" s="143" t="s">
        <v>146</v>
      </c>
      <c r="H292" s="80">
        <f t="shared" si="201"/>
        <v>0</v>
      </c>
      <c r="I292" s="80" t="str">
        <f t="shared" si="202"/>
        <v/>
      </c>
      <c r="J292" s="144"/>
      <c r="K292" s="144"/>
      <c r="L292" s="144"/>
      <c r="M292" s="76"/>
      <c r="N292" s="77"/>
      <c r="O292" s="145"/>
      <c r="P292" s="77">
        <f t="shared" si="203"/>
        <v>0</v>
      </c>
      <c r="Q292" s="78"/>
      <c r="R292" s="79"/>
      <c r="S292" s="146">
        <f t="shared" si="220"/>
        <v>0</v>
      </c>
      <c r="T292" s="141" t="b">
        <f t="shared" si="221"/>
        <v>0</v>
      </c>
      <c r="U292" s="649">
        <f t="shared" si="222"/>
        <v>0</v>
      </c>
      <c r="V292" s="650"/>
      <c r="W292" s="649">
        <f t="shared" si="223"/>
        <v>0</v>
      </c>
      <c r="X292" s="650"/>
      <c r="Y292" s="649">
        <f t="shared" si="224"/>
        <v>0</v>
      </c>
      <c r="Z292" s="650"/>
      <c r="AA292" s="649">
        <f t="shared" si="225"/>
        <v>0</v>
      </c>
      <c r="AB292" s="650"/>
      <c r="AC292" s="649">
        <f t="shared" si="226"/>
        <v>0</v>
      </c>
      <c r="AD292" s="650"/>
      <c r="AE292" s="649">
        <f t="shared" si="227"/>
        <v>0</v>
      </c>
      <c r="AF292" s="650"/>
      <c r="AG292" s="649">
        <f t="shared" si="228"/>
        <v>0</v>
      </c>
      <c r="AH292" s="650"/>
      <c r="AI292" s="649">
        <f t="shared" si="229"/>
        <v>0</v>
      </c>
      <c r="AJ292" s="650"/>
      <c r="AK292" s="649">
        <f t="shared" si="230"/>
        <v>0</v>
      </c>
      <c r="AL292" s="650"/>
      <c r="AM292" s="649">
        <f t="shared" si="231"/>
        <v>0</v>
      </c>
      <c r="AN292" s="650"/>
      <c r="AO292" s="649">
        <f t="shared" si="232"/>
        <v>0</v>
      </c>
      <c r="AP292" s="650"/>
      <c r="AQ292" s="649">
        <f t="shared" si="233"/>
        <v>0</v>
      </c>
      <c r="AR292" s="650"/>
      <c r="AS292" s="651">
        <f t="shared" si="234"/>
        <v>0</v>
      </c>
      <c r="AT292" s="652"/>
      <c r="AU292" s="141">
        <f t="shared" si="204"/>
        <v>0</v>
      </c>
      <c r="AV292" s="141">
        <f t="shared" si="205"/>
        <v>0</v>
      </c>
      <c r="AW292" s="141">
        <f t="shared" si="206"/>
        <v>0</v>
      </c>
      <c r="AX292" s="141">
        <f t="shared" si="207"/>
        <v>0</v>
      </c>
      <c r="AY292" s="141">
        <f t="shared" si="208"/>
        <v>0</v>
      </c>
      <c r="AZ292" s="141">
        <f t="shared" si="209"/>
        <v>0</v>
      </c>
      <c r="BA292" s="141">
        <f t="shared" si="210"/>
        <v>0</v>
      </c>
      <c r="BB292" s="141">
        <f t="shared" si="211"/>
        <v>0</v>
      </c>
      <c r="BC292" s="141">
        <f t="shared" si="212"/>
        <v>0</v>
      </c>
      <c r="BD292" s="141">
        <f t="shared" si="213"/>
        <v>0</v>
      </c>
      <c r="BE292" s="141">
        <f t="shared" si="214"/>
        <v>0</v>
      </c>
      <c r="BF292" s="141">
        <f t="shared" si="215"/>
        <v>0</v>
      </c>
      <c r="BG292" s="141">
        <f t="shared" si="235"/>
        <v>0</v>
      </c>
      <c r="BH292" s="141">
        <f t="shared" si="236"/>
        <v>0</v>
      </c>
      <c r="BI292" s="141">
        <f t="shared" si="216"/>
        <v>0</v>
      </c>
      <c r="BJ292" s="147">
        <f t="shared" si="217"/>
        <v>0</v>
      </c>
      <c r="BK292" s="141">
        <f t="shared" si="199"/>
        <v>0</v>
      </c>
      <c r="BL292" s="141">
        <f t="shared" si="200"/>
        <v>0</v>
      </c>
      <c r="BM292" s="141">
        <f t="shared" si="237"/>
        <v>0</v>
      </c>
      <c r="BN292" s="141">
        <f t="shared" si="238"/>
        <v>0</v>
      </c>
      <c r="BO292" s="141">
        <f t="shared" si="239"/>
        <v>0</v>
      </c>
      <c r="BP292" s="141">
        <f t="shared" si="240"/>
        <v>0</v>
      </c>
      <c r="BT292" s="177"/>
      <c r="BU292" s="173"/>
      <c r="BV292" s="174"/>
      <c r="BW292" s="117"/>
      <c r="BX292" s="180"/>
      <c r="BY292" s="117"/>
      <c r="BZ292" s="181"/>
      <c r="CA292" s="182"/>
      <c r="CB292" s="176"/>
      <c r="CC292" s="176"/>
      <c r="CF292" s="170"/>
      <c r="CG292" s="171"/>
      <c r="CH292" s="170"/>
      <c r="CI292" s="171"/>
    </row>
    <row r="293" spans="2:87" s="108" customFormat="1" ht="15" hidden="1" customHeight="1">
      <c r="B293" s="109"/>
      <c r="C293" s="141" t="e">
        <f t="shared" si="218"/>
        <v>#NUM!</v>
      </c>
      <c r="D293" s="141">
        <f t="shared" si="197"/>
        <v>0</v>
      </c>
      <c r="E293" s="141" t="str">
        <f>IFERROR(DGET($BV$30:$CC$82,F293,G292:G293),"")</f>
        <v/>
      </c>
      <c r="F293" s="142">
        <f t="shared" si="219"/>
        <v>0</v>
      </c>
      <c r="G293" s="142" t="b">
        <f>IF(Q293&gt;0,IF(AND(S293&gt;0,S293&lt;2),CONCATENATE(Q293," ","0-2"),IF(AND(S293&gt;=2,S293&lt;8),CONCATENATE(Q293," ","2-8"),)))</f>
        <v>0</v>
      </c>
      <c r="H293" s="80">
        <f t="shared" si="201"/>
        <v>0</v>
      </c>
      <c r="I293" s="80" t="str">
        <f t="shared" si="202"/>
        <v/>
      </c>
      <c r="J293" s="76"/>
      <c r="K293" s="76"/>
      <c r="L293" s="76"/>
      <c r="M293" s="80"/>
      <c r="N293" s="79"/>
      <c r="O293" s="148"/>
      <c r="P293" s="77">
        <f t="shared" si="203"/>
        <v>0</v>
      </c>
      <c r="Q293" s="81"/>
      <c r="R293" s="77"/>
      <c r="S293" s="146">
        <f t="shared" si="220"/>
        <v>0</v>
      </c>
      <c r="T293" s="141" t="b">
        <f t="shared" si="221"/>
        <v>0</v>
      </c>
      <c r="U293" s="649">
        <f t="shared" si="222"/>
        <v>0</v>
      </c>
      <c r="V293" s="650"/>
      <c r="W293" s="649">
        <f t="shared" si="223"/>
        <v>0</v>
      </c>
      <c r="X293" s="650"/>
      <c r="Y293" s="649">
        <f t="shared" si="224"/>
        <v>0</v>
      </c>
      <c r="Z293" s="650"/>
      <c r="AA293" s="649">
        <f t="shared" si="225"/>
        <v>0</v>
      </c>
      <c r="AB293" s="650"/>
      <c r="AC293" s="649">
        <f t="shared" si="226"/>
        <v>0</v>
      </c>
      <c r="AD293" s="650"/>
      <c r="AE293" s="649">
        <f t="shared" si="227"/>
        <v>0</v>
      </c>
      <c r="AF293" s="650"/>
      <c r="AG293" s="649">
        <f t="shared" si="228"/>
        <v>0</v>
      </c>
      <c r="AH293" s="650"/>
      <c r="AI293" s="649">
        <f t="shared" si="229"/>
        <v>0</v>
      </c>
      <c r="AJ293" s="650"/>
      <c r="AK293" s="649">
        <f t="shared" si="230"/>
        <v>0</v>
      </c>
      <c r="AL293" s="650"/>
      <c r="AM293" s="649">
        <f t="shared" si="231"/>
        <v>0</v>
      </c>
      <c r="AN293" s="650"/>
      <c r="AO293" s="649">
        <f t="shared" si="232"/>
        <v>0</v>
      </c>
      <c r="AP293" s="650"/>
      <c r="AQ293" s="649">
        <f t="shared" si="233"/>
        <v>0</v>
      </c>
      <c r="AR293" s="650"/>
      <c r="AS293" s="651">
        <f t="shared" si="234"/>
        <v>0</v>
      </c>
      <c r="AT293" s="652"/>
      <c r="AU293" s="141">
        <f t="shared" si="204"/>
        <v>0</v>
      </c>
      <c r="AV293" s="141">
        <f t="shared" si="205"/>
        <v>0</v>
      </c>
      <c r="AW293" s="141">
        <f t="shared" si="206"/>
        <v>0</v>
      </c>
      <c r="AX293" s="141">
        <f t="shared" si="207"/>
        <v>0</v>
      </c>
      <c r="AY293" s="141">
        <f t="shared" si="208"/>
        <v>0</v>
      </c>
      <c r="AZ293" s="141">
        <f t="shared" si="209"/>
        <v>0</v>
      </c>
      <c r="BA293" s="141">
        <f t="shared" si="210"/>
        <v>0</v>
      </c>
      <c r="BB293" s="141">
        <f t="shared" si="211"/>
        <v>0</v>
      </c>
      <c r="BC293" s="141">
        <f t="shared" si="212"/>
        <v>0</v>
      </c>
      <c r="BD293" s="141">
        <f t="shared" si="213"/>
        <v>0</v>
      </c>
      <c r="BE293" s="141">
        <f t="shared" si="214"/>
        <v>0</v>
      </c>
      <c r="BF293" s="141">
        <f t="shared" si="215"/>
        <v>0</v>
      </c>
      <c r="BG293" s="141">
        <f t="shared" si="235"/>
        <v>0</v>
      </c>
      <c r="BH293" s="141">
        <f t="shared" si="236"/>
        <v>0</v>
      </c>
      <c r="BI293" s="141">
        <f t="shared" si="216"/>
        <v>0</v>
      </c>
      <c r="BJ293" s="147">
        <f t="shared" si="217"/>
        <v>0</v>
      </c>
      <c r="BK293" s="141">
        <f t="shared" si="199"/>
        <v>0</v>
      </c>
      <c r="BL293" s="141">
        <f t="shared" si="200"/>
        <v>0</v>
      </c>
      <c r="BM293" s="141">
        <f t="shared" si="237"/>
        <v>0</v>
      </c>
      <c r="BN293" s="141">
        <f t="shared" si="238"/>
        <v>0</v>
      </c>
      <c r="BO293" s="141">
        <f t="shared" si="239"/>
        <v>0</v>
      </c>
      <c r="BP293" s="141">
        <f t="shared" si="240"/>
        <v>0</v>
      </c>
      <c r="BT293" s="177"/>
      <c r="BU293" s="173"/>
      <c r="BV293" s="174"/>
      <c r="BW293" s="117"/>
      <c r="BX293" s="180"/>
      <c r="BY293" s="117"/>
      <c r="BZ293" s="181"/>
      <c r="CA293" s="182"/>
      <c r="CB293" s="176"/>
      <c r="CC293" s="176"/>
      <c r="CF293" s="170"/>
      <c r="CG293" s="171"/>
      <c r="CH293" s="170"/>
      <c r="CI293" s="171"/>
    </row>
    <row r="294" spans="2:87" s="108" customFormat="1" ht="15" hidden="1" customHeight="1">
      <c r="B294" s="109"/>
      <c r="C294" s="141" t="e">
        <f t="shared" si="218"/>
        <v>#NUM!</v>
      </c>
      <c r="D294" s="141">
        <f t="shared" si="197"/>
        <v>0</v>
      </c>
      <c r="E294" s="141"/>
      <c r="F294" s="142">
        <f t="shared" si="219"/>
        <v>0</v>
      </c>
      <c r="G294" s="143" t="s">
        <v>146</v>
      </c>
      <c r="H294" s="80">
        <f t="shared" si="201"/>
        <v>0</v>
      </c>
      <c r="I294" s="80" t="str">
        <f t="shared" si="202"/>
        <v/>
      </c>
      <c r="J294" s="144"/>
      <c r="K294" s="144"/>
      <c r="L294" s="144"/>
      <c r="M294" s="76"/>
      <c r="N294" s="77"/>
      <c r="O294" s="145"/>
      <c r="P294" s="77">
        <f t="shared" si="203"/>
        <v>0</v>
      </c>
      <c r="Q294" s="78"/>
      <c r="R294" s="79"/>
      <c r="S294" s="146">
        <f t="shared" si="220"/>
        <v>0</v>
      </c>
      <c r="T294" s="141" t="b">
        <f t="shared" si="221"/>
        <v>0</v>
      </c>
      <c r="U294" s="649">
        <f t="shared" si="222"/>
        <v>0</v>
      </c>
      <c r="V294" s="650"/>
      <c r="W294" s="649">
        <f t="shared" si="223"/>
        <v>0</v>
      </c>
      <c r="X294" s="650"/>
      <c r="Y294" s="649">
        <f t="shared" si="224"/>
        <v>0</v>
      </c>
      <c r="Z294" s="650"/>
      <c r="AA294" s="649">
        <f t="shared" si="225"/>
        <v>0</v>
      </c>
      <c r="AB294" s="650"/>
      <c r="AC294" s="649">
        <f t="shared" si="226"/>
        <v>0</v>
      </c>
      <c r="AD294" s="650"/>
      <c r="AE294" s="649">
        <f t="shared" si="227"/>
        <v>0</v>
      </c>
      <c r="AF294" s="650"/>
      <c r="AG294" s="649">
        <f t="shared" si="228"/>
        <v>0</v>
      </c>
      <c r="AH294" s="650"/>
      <c r="AI294" s="649">
        <f t="shared" si="229"/>
        <v>0</v>
      </c>
      <c r="AJ294" s="650"/>
      <c r="AK294" s="649">
        <f t="shared" si="230"/>
        <v>0</v>
      </c>
      <c r="AL294" s="650"/>
      <c r="AM294" s="649">
        <f t="shared" si="231"/>
        <v>0</v>
      </c>
      <c r="AN294" s="650"/>
      <c r="AO294" s="649">
        <f t="shared" si="232"/>
        <v>0</v>
      </c>
      <c r="AP294" s="650"/>
      <c r="AQ294" s="649">
        <f t="shared" si="233"/>
        <v>0</v>
      </c>
      <c r="AR294" s="650"/>
      <c r="AS294" s="651">
        <f t="shared" si="234"/>
        <v>0</v>
      </c>
      <c r="AT294" s="652"/>
      <c r="AU294" s="141">
        <f t="shared" si="204"/>
        <v>0</v>
      </c>
      <c r="AV294" s="141">
        <f t="shared" si="205"/>
        <v>0</v>
      </c>
      <c r="AW294" s="141">
        <f t="shared" si="206"/>
        <v>0</v>
      </c>
      <c r="AX294" s="141">
        <f t="shared" si="207"/>
        <v>0</v>
      </c>
      <c r="AY294" s="141">
        <f t="shared" si="208"/>
        <v>0</v>
      </c>
      <c r="AZ294" s="141">
        <f t="shared" si="209"/>
        <v>0</v>
      </c>
      <c r="BA294" s="141">
        <f t="shared" si="210"/>
        <v>0</v>
      </c>
      <c r="BB294" s="141">
        <f t="shared" si="211"/>
        <v>0</v>
      </c>
      <c r="BC294" s="141">
        <f t="shared" si="212"/>
        <v>0</v>
      </c>
      <c r="BD294" s="141">
        <f t="shared" si="213"/>
        <v>0</v>
      </c>
      <c r="BE294" s="141">
        <f t="shared" si="214"/>
        <v>0</v>
      </c>
      <c r="BF294" s="141">
        <f t="shared" si="215"/>
        <v>0</v>
      </c>
      <c r="BG294" s="141">
        <f t="shared" si="235"/>
        <v>0</v>
      </c>
      <c r="BH294" s="141">
        <f t="shared" si="236"/>
        <v>0</v>
      </c>
      <c r="BI294" s="141">
        <f t="shared" si="216"/>
        <v>0</v>
      </c>
      <c r="BJ294" s="147">
        <f t="shared" si="217"/>
        <v>0</v>
      </c>
      <c r="BK294" s="141">
        <f t="shared" si="199"/>
        <v>0</v>
      </c>
      <c r="BL294" s="141">
        <f t="shared" si="200"/>
        <v>0</v>
      </c>
      <c r="BM294" s="141">
        <f t="shared" si="237"/>
        <v>0</v>
      </c>
      <c r="BN294" s="141">
        <f t="shared" si="238"/>
        <v>0</v>
      </c>
      <c r="BO294" s="141">
        <f t="shared" si="239"/>
        <v>0</v>
      </c>
      <c r="BP294" s="141">
        <f t="shared" si="240"/>
        <v>0</v>
      </c>
      <c r="BT294" s="177"/>
      <c r="BU294" s="173"/>
      <c r="BV294" s="174"/>
      <c r="BW294" s="117"/>
      <c r="BX294" s="180"/>
      <c r="BY294" s="117"/>
      <c r="BZ294" s="181"/>
      <c r="CA294" s="182"/>
      <c r="CB294" s="176"/>
      <c r="CC294" s="176"/>
      <c r="CF294" s="170"/>
      <c r="CG294" s="171"/>
      <c r="CH294" s="170"/>
      <c r="CI294" s="171"/>
    </row>
    <row r="295" spans="2:87" s="108" customFormat="1" ht="15" hidden="1" customHeight="1">
      <c r="B295" s="109"/>
      <c r="C295" s="141" t="e">
        <f t="shared" si="218"/>
        <v>#NUM!</v>
      </c>
      <c r="D295" s="141">
        <f t="shared" si="197"/>
        <v>0</v>
      </c>
      <c r="E295" s="141" t="str">
        <f>IFERROR(DGET($BV$30:$CC$82,F295,G294:G295),"")</f>
        <v/>
      </c>
      <c r="F295" s="142">
        <f t="shared" si="219"/>
        <v>0</v>
      </c>
      <c r="G295" s="142" t="b">
        <f>IF(Q295&gt;0,IF(AND(S295&gt;0,S295&lt;2),CONCATENATE(Q295," ","0-2"),IF(AND(S295&gt;=2,S295&lt;8),CONCATENATE(Q295," ","2-8"),)))</f>
        <v>0</v>
      </c>
      <c r="H295" s="80">
        <f t="shared" si="201"/>
        <v>0</v>
      </c>
      <c r="I295" s="80" t="str">
        <f t="shared" si="202"/>
        <v/>
      </c>
      <c r="J295" s="76"/>
      <c r="K295" s="76"/>
      <c r="L295" s="76"/>
      <c r="M295" s="80"/>
      <c r="N295" s="79"/>
      <c r="O295" s="148"/>
      <c r="P295" s="77">
        <f t="shared" si="203"/>
        <v>0</v>
      </c>
      <c r="Q295" s="81"/>
      <c r="R295" s="77"/>
      <c r="S295" s="146">
        <f t="shared" si="220"/>
        <v>0</v>
      </c>
      <c r="T295" s="141" t="b">
        <f t="shared" si="221"/>
        <v>0</v>
      </c>
      <c r="U295" s="649">
        <f t="shared" si="222"/>
        <v>0</v>
      </c>
      <c r="V295" s="650"/>
      <c r="W295" s="649">
        <f t="shared" si="223"/>
        <v>0</v>
      </c>
      <c r="X295" s="650"/>
      <c r="Y295" s="649">
        <f t="shared" si="224"/>
        <v>0</v>
      </c>
      <c r="Z295" s="650"/>
      <c r="AA295" s="649">
        <f t="shared" si="225"/>
        <v>0</v>
      </c>
      <c r="AB295" s="650"/>
      <c r="AC295" s="649">
        <f t="shared" si="226"/>
        <v>0</v>
      </c>
      <c r="AD295" s="650"/>
      <c r="AE295" s="649">
        <f t="shared" si="227"/>
        <v>0</v>
      </c>
      <c r="AF295" s="650"/>
      <c r="AG295" s="649">
        <f t="shared" si="228"/>
        <v>0</v>
      </c>
      <c r="AH295" s="650"/>
      <c r="AI295" s="649">
        <f t="shared" si="229"/>
        <v>0</v>
      </c>
      <c r="AJ295" s="650"/>
      <c r="AK295" s="649">
        <f t="shared" si="230"/>
        <v>0</v>
      </c>
      <c r="AL295" s="650"/>
      <c r="AM295" s="649">
        <f t="shared" si="231"/>
        <v>0</v>
      </c>
      <c r="AN295" s="650"/>
      <c r="AO295" s="649">
        <f t="shared" si="232"/>
        <v>0</v>
      </c>
      <c r="AP295" s="650"/>
      <c r="AQ295" s="649">
        <f t="shared" si="233"/>
        <v>0</v>
      </c>
      <c r="AR295" s="650"/>
      <c r="AS295" s="651">
        <f t="shared" si="234"/>
        <v>0</v>
      </c>
      <c r="AT295" s="652"/>
      <c r="AU295" s="141">
        <f t="shared" si="204"/>
        <v>0</v>
      </c>
      <c r="AV295" s="141">
        <f t="shared" si="205"/>
        <v>0</v>
      </c>
      <c r="AW295" s="141">
        <f t="shared" si="206"/>
        <v>0</v>
      </c>
      <c r="AX295" s="141">
        <f t="shared" si="207"/>
        <v>0</v>
      </c>
      <c r="AY295" s="141">
        <f t="shared" si="208"/>
        <v>0</v>
      </c>
      <c r="AZ295" s="141">
        <f t="shared" si="209"/>
        <v>0</v>
      </c>
      <c r="BA295" s="141">
        <f t="shared" si="210"/>
        <v>0</v>
      </c>
      <c r="BB295" s="141">
        <f t="shared" si="211"/>
        <v>0</v>
      </c>
      <c r="BC295" s="141">
        <f t="shared" si="212"/>
        <v>0</v>
      </c>
      <c r="BD295" s="141">
        <f t="shared" si="213"/>
        <v>0</v>
      </c>
      <c r="BE295" s="141">
        <f t="shared" si="214"/>
        <v>0</v>
      </c>
      <c r="BF295" s="141">
        <f t="shared" si="215"/>
        <v>0</v>
      </c>
      <c r="BG295" s="141">
        <f t="shared" si="235"/>
        <v>0</v>
      </c>
      <c r="BH295" s="141">
        <f t="shared" si="236"/>
        <v>0</v>
      </c>
      <c r="BI295" s="141">
        <f t="shared" si="216"/>
        <v>0</v>
      </c>
      <c r="BJ295" s="147">
        <f t="shared" si="217"/>
        <v>0</v>
      </c>
      <c r="BK295" s="141">
        <f t="shared" si="199"/>
        <v>0</v>
      </c>
      <c r="BL295" s="141">
        <f t="shared" si="200"/>
        <v>0</v>
      </c>
      <c r="BM295" s="141">
        <f t="shared" si="237"/>
        <v>0</v>
      </c>
      <c r="BN295" s="141">
        <f t="shared" si="238"/>
        <v>0</v>
      </c>
      <c r="BO295" s="141">
        <f t="shared" si="239"/>
        <v>0</v>
      </c>
      <c r="BP295" s="141">
        <f t="shared" si="240"/>
        <v>0</v>
      </c>
      <c r="BT295" s="177"/>
      <c r="BU295" s="173"/>
      <c r="BV295" s="174"/>
      <c r="BW295" s="117"/>
      <c r="BX295" s="180"/>
      <c r="BY295" s="117"/>
      <c r="BZ295" s="181"/>
      <c r="CA295" s="182"/>
      <c r="CB295" s="176"/>
      <c r="CC295" s="176"/>
      <c r="CF295" s="170"/>
      <c r="CG295" s="171"/>
      <c r="CH295" s="170"/>
      <c r="CI295" s="171"/>
    </row>
    <row r="296" spans="2:87" s="108" customFormat="1" ht="15" hidden="1" customHeight="1">
      <c r="B296" s="109"/>
      <c r="C296" s="141" t="e">
        <f t="shared" si="218"/>
        <v>#NUM!</v>
      </c>
      <c r="D296" s="141">
        <f t="shared" si="197"/>
        <v>0</v>
      </c>
      <c r="E296" s="141"/>
      <c r="F296" s="142">
        <f t="shared" si="219"/>
        <v>0</v>
      </c>
      <c r="G296" s="143" t="s">
        <v>146</v>
      </c>
      <c r="H296" s="80">
        <f t="shared" si="201"/>
        <v>0</v>
      </c>
      <c r="I296" s="80" t="str">
        <f t="shared" si="202"/>
        <v/>
      </c>
      <c r="J296" s="144"/>
      <c r="K296" s="144"/>
      <c r="L296" s="144"/>
      <c r="M296" s="76"/>
      <c r="N296" s="77"/>
      <c r="O296" s="145"/>
      <c r="P296" s="77">
        <f t="shared" si="203"/>
        <v>0</v>
      </c>
      <c r="Q296" s="78"/>
      <c r="R296" s="79"/>
      <c r="S296" s="146">
        <f t="shared" si="220"/>
        <v>0</v>
      </c>
      <c r="T296" s="141" t="b">
        <f t="shared" si="221"/>
        <v>0</v>
      </c>
      <c r="U296" s="649">
        <f t="shared" si="222"/>
        <v>0</v>
      </c>
      <c r="V296" s="650"/>
      <c r="W296" s="649">
        <f t="shared" si="223"/>
        <v>0</v>
      </c>
      <c r="X296" s="650"/>
      <c r="Y296" s="649">
        <f t="shared" si="224"/>
        <v>0</v>
      </c>
      <c r="Z296" s="650"/>
      <c r="AA296" s="649">
        <f t="shared" si="225"/>
        <v>0</v>
      </c>
      <c r="AB296" s="650"/>
      <c r="AC296" s="649">
        <f t="shared" si="226"/>
        <v>0</v>
      </c>
      <c r="AD296" s="650"/>
      <c r="AE296" s="649">
        <f t="shared" si="227"/>
        <v>0</v>
      </c>
      <c r="AF296" s="650"/>
      <c r="AG296" s="649">
        <f t="shared" si="228"/>
        <v>0</v>
      </c>
      <c r="AH296" s="650"/>
      <c r="AI296" s="649">
        <f t="shared" si="229"/>
        <v>0</v>
      </c>
      <c r="AJ296" s="650"/>
      <c r="AK296" s="649">
        <f t="shared" si="230"/>
        <v>0</v>
      </c>
      <c r="AL296" s="650"/>
      <c r="AM296" s="649">
        <f t="shared" si="231"/>
        <v>0</v>
      </c>
      <c r="AN296" s="650"/>
      <c r="AO296" s="649">
        <f t="shared" si="232"/>
        <v>0</v>
      </c>
      <c r="AP296" s="650"/>
      <c r="AQ296" s="649">
        <f t="shared" si="233"/>
        <v>0</v>
      </c>
      <c r="AR296" s="650"/>
      <c r="AS296" s="651">
        <f t="shared" si="234"/>
        <v>0</v>
      </c>
      <c r="AT296" s="652"/>
      <c r="AU296" s="141">
        <f t="shared" si="204"/>
        <v>0</v>
      </c>
      <c r="AV296" s="141">
        <f t="shared" si="205"/>
        <v>0</v>
      </c>
      <c r="AW296" s="141">
        <f t="shared" si="206"/>
        <v>0</v>
      </c>
      <c r="AX296" s="141">
        <f t="shared" si="207"/>
        <v>0</v>
      </c>
      <c r="AY296" s="141">
        <f t="shared" si="208"/>
        <v>0</v>
      </c>
      <c r="AZ296" s="141">
        <f t="shared" si="209"/>
        <v>0</v>
      </c>
      <c r="BA296" s="141">
        <f t="shared" si="210"/>
        <v>0</v>
      </c>
      <c r="BB296" s="141">
        <f t="shared" si="211"/>
        <v>0</v>
      </c>
      <c r="BC296" s="141">
        <f t="shared" si="212"/>
        <v>0</v>
      </c>
      <c r="BD296" s="141">
        <f t="shared" si="213"/>
        <v>0</v>
      </c>
      <c r="BE296" s="141">
        <f t="shared" si="214"/>
        <v>0</v>
      </c>
      <c r="BF296" s="141">
        <f t="shared" si="215"/>
        <v>0</v>
      </c>
      <c r="BG296" s="141">
        <f t="shared" si="235"/>
        <v>0</v>
      </c>
      <c r="BH296" s="141">
        <f t="shared" si="236"/>
        <v>0</v>
      </c>
      <c r="BI296" s="141">
        <f t="shared" si="216"/>
        <v>0</v>
      </c>
      <c r="BJ296" s="147">
        <f t="shared" si="217"/>
        <v>0</v>
      </c>
      <c r="BK296" s="141">
        <f t="shared" si="199"/>
        <v>0</v>
      </c>
      <c r="BL296" s="141">
        <f t="shared" si="200"/>
        <v>0</v>
      </c>
      <c r="BM296" s="141">
        <f t="shared" si="237"/>
        <v>0</v>
      </c>
      <c r="BN296" s="141">
        <f t="shared" si="238"/>
        <v>0</v>
      </c>
      <c r="BO296" s="141">
        <f t="shared" si="239"/>
        <v>0</v>
      </c>
      <c r="BP296" s="141">
        <f t="shared" si="240"/>
        <v>0</v>
      </c>
      <c r="BT296" s="177"/>
      <c r="BU296" s="173"/>
      <c r="BV296" s="174"/>
      <c r="BW296" s="117"/>
      <c r="BX296" s="180"/>
      <c r="BY296" s="117"/>
      <c r="BZ296" s="181"/>
      <c r="CA296" s="182"/>
      <c r="CB296" s="176"/>
      <c r="CC296" s="176"/>
      <c r="CF296" s="170"/>
      <c r="CG296" s="171"/>
      <c r="CH296" s="170"/>
      <c r="CI296" s="171"/>
    </row>
    <row r="297" spans="2:87" s="108" customFormat="1" ht="15" hidden="1" customHeight="1">
      <c r="B297" s="109"/>
      <c r="C297" s="141" t="e">
        <f t="shared" si="218"/>
        <v>#NUM!</v>
      </c>
      <c r="D297" s="141">
        <f t="shared" si="197"/>
        <v>0</v>
      </c>
      <c r="E297" s="141" t="str">
        <f>IFERROR(DGET($BV$30:$CC$82,F297,G296:G297),"")</f>
        <v/>
      </c>
      <c r="F297" s="142">
        <f t="shared" si="219"/>
        <v>0</v>
      </c>
      <c r="G297" s="142" t="b">
        <f>IF(Q297&gt;0,IF(AND(S297&gt;0,S297&lt;2),CONCATENATE(Q297," ","0-2"),IF(AND(S297&gt;=2,S297&lt;8),CONCATENATE(Q297," ","2-8"),)))</f>
        <v>0</v>
      </c>
      <c r="H297" s="80">
        <f t="shared" si="201"/>
        <v>0</v>
      </c>
      <c r="I297" s="80" t="str">
        <f t="shared" si="202"/>
        <v/>
      </c>
      <c r="J297" s="76"/>
      <c r="K297" s="76"/>
      <c r="L297" s="76"/>
      <c r="M297" s="80"/>
      <c r="N297" s="79"/>
      <c r="O297" s="148"/>
      <c r="P297" s="77">
        <f t="shared" si="203"/>
        <v>0</v>
      </c>
      <c r="Q297" s="81"/>
      <c r="R297" s="77"/>
      <c r="S297" s="146">
        <f t="shared" si="220"/>
        <v>0</v>
      </c>
      <c r="T297" s="141" t="b">
        <f t="shared" si="221"/>
        <v>0</v>
      </c>
      <c r="U297" s="649">
        <f t="shared" si="222"/>
        <v>0</v>
      </c>
      <c r="V297" s="650"/>
      <c r="W297" s="649">
        <f t="shared" si="223"/>
        <v>0</v>
      </c>
      <c r="X297" s="650"/>
      <c r="Y297" s="649">
        <f t="shared" si="224"/>
        <v>0</v>
      </c>
      <c r="Z297" s="650"/>
      <c r="AA297" s="649">
        <f t="shared" si="225"/>
        <v>0</v>
      </c>
      <c r="AB297" s="650"/>
      <c r="AC297" s="649">
        <f t="shared" si="226"/>
        <v>0</v>
      </c>
      <c r="AD297" s="650"/>
      <c r="AE297" s="649">
        <f t="shared" si="227"/>
        <v>0</v>
      </c>
      <c r="AF297" s="650"/>
      <c r="AG297" s="649">
        <f t="shared" si="228"/>
        <v>0</v>
      </c>
      <c r="AH297" s="650"/>
      <c r="AI297" s="649">
        <f t="shared" si="229"/>
        <v>0</v>
      </c>
      <c r="AJ297" s="650"/>
      <c r="AK297" s="649">
        <f t="shared" si="230"/>
        <v>0</v>
      </c>
      <c r="AL297" s="650"/>
      <c r="AM297" s="649">
        <f t="shared" si="231"/>
        <v>0</v>
      </c>
      <c r="AN297" s="650"/>
      <c r="AO297" s="649">
        <f t="shared" si="232"/>
        <v>0</v>
      </c>
      <c r="AP297" s="650"/>
      <c r="AQ297" s="649">
        <f t="shared" si="233"/>
        <v>0</v>
      </c>
      <c r="AR297" s="650"/>
      <c r="AS297" s="651">
        <f t="shared" si="234"/>
        <v>0</v>
      </c>
      <c r="AT297" s="652"/>
      <c r="AU297" s="141">
        <f t="shared" si="204"/>
        <v>0</v>
      </c>
      <c r="AV297" s="141">
        <f t="shared" si="205"/>
        <v>0</v>
      </c>
      <c r="AW297" s="141">
        <f t="shared" si="206"/>
        <v>0</v>
      </c>
      <c r="AX297" s="141">
        <f t="shared" si="207"/>
        <v>0</v>
      </c>
      <c r="AY297" s="141">
        <f t="shared" si="208"/>
        <v>0</v>
      </c>
      <c r="AZ297" s="141">
        <f t="shared" si="209"/>
        <v>0</v>
      </c>
      <c r="BA297" s="141">
        <f t="shared" si="210"/>
        <v>0</v>
      </c>
      <c r="BB297" s="141">
        <f t="shared" si="211"/>
        <v>0</v>
      </c>
      <c r="BC297" s="141">
        <f t="shared" si="212"/>
        <v>0</v>
      </c>
      <c r="BD297" s="141">
        <f t="shared" si="213"/>
        <v>0</v>
      </c>
      <c r="BE297" s="141">
        <f t="shared" si="214"/>
        <v>0</v>
      </c>
      <c r="BF297" s="141">
        <f t="shared" si="215"/>
        <v>0</v>
      </c>
      <c r="BG297" s="141">
        <f t="shared" si="235"/>
        <v>0</v>
      </c>
      <c r="BH297" s="141">
        <f t="shared" si="236"/>
        <v>0</v>
      </c>
      <c r="BI297" s="141">
        <f t="shared" si="216"/>
        <v>0</v>
      </c>
      <c r="BJ297" s="147">
        <f t="shared" si="217"/>
        <v>0</v>
      </c>
      <c r="BK297" s="141">
        <f t="shared" si="199"/>
        <v>0</v>
      </c>
      <c r="BL297" s="141">
        <f t="shared" si="200"/>
        <v>0</v>
      </c>
      <c r="BM297" s="141">
        <f t="shared" si="237"/>
        <v>0</v>
      </c>
      <c r="BN297" s="141">
        <f t="shared" si="238"/>
        <v>0</v>
      </c>
      <c r="BO297" s="141">
        <f t="shared" si="239"/>
        <v>0</v>
      </c>
      <c r="BP297" s="141">
        <f t="shared" si="240"/>
        <v>0</v>
      </c>
      <c r="BT297" s="177"/>
      <c r="BU297" s="173"/>
      <c r="BV297" s="174"/>
      <c r="BW297" s="117"/>
      <c r="BX297" s="180"/>
      <c r="BY297" s="117"/>
      <c r="BZ297" s="181"/>
      <c r="CA297" s="182"/>
      <c r="CB297" s="176"/>
      <c r="CC297" s="176"/>
      <c r="CF297" s="170"/>
      <c r="CG297" s="171"/>
      <c r="CH297" s="170"/>
      <c r="CI297" s="171"/>
    </row>
    <row r="298" spans="2:87" s="108" customFormat="1" ht="15" hidden="1" customHeight="1">
      <c r="B298" s="109"/>
      <c r="C298" s="141" t="e">
        <f t="shared" si="218"/>
        <v>#NUM!</v>
      </c>
      <c r="D298" s="141">
        <f t="shared" si="197"/>
        <v>0</v>
      </c>
      <c r="E298" s="141"/>
      <c r="F298" s="142">
        <f t="shared" si="219"/>
        <v>0</v>
      </c>
      <c r="G298" s="143" t="s">
        <v>146</v>
      </c>
      <c r="H298" s="80">
        <f t="shared" si="201"/>
        <v>0</v>
      </c>
      <c r="I298" s="80" t="str">
        <f t="shared" si="202"/>
        <v/>
      </c>
      <c r="J298" s="144"/>
      <c r="K298" s="144"/>
      <c r="L298" s="144"/>
      <c r="M298" s="76"/>
      <c r="N298" s="77"/>
      <c r="O298" s="145"/>
      <c r="P298" s="77">
        <f t="shared" si="203"/>
        <v>0</v>
      </c>
      <c r="Q298" s="78"/>
      <c r="R298" s="79"/>
      <c r="S298" s="146">
        <f t="shared" si="220"/>
        <v>0</v>
      </c>
      <c r="T298" s="141" t="b">
        <f t="shared" si="221"/>
        <v>0</v>
      </c>
      <c r="U298" s="649">
        <f t="shared" si="222"/>
        <v>0</v>
      </c>
      <c r="V298" s="650"/>
      <c r="W298" s="649">
        <f t="shared" si="223"/>
        <v>0</v>
      </c>
      <c r="X298" s="650"/>
      <c r="Y298" s="649">
        <f t="shared" si="224"/>
        <v>0</v>
      </c>
      <c r="Z298" s="650"/>
      <c r="AA298" s="649">
        <f t="shared" si="225"/>
        <v>0</v>
      </c>
      <c r="AB298" s="650"/>
      <c r="AC298" s="649">
        <f t="shared" si="226"/>
        <v>0</v>
      </c>
      <c r="AD298" s="650"/>
      <c r="AE298" s="649">
        <f t="shared" si="227"/>
        <v>0</v>
      </c>
      <c r="AF298" s="650"/>
      <c r="AG298" s="649">
        <f t="shared" si="228"/>
        <v>0</v>
      </c>
      <c r="AH298" s="650"/>
      <c r="AI298" s="649">
        <f t="shared" si="229"/>
        <v>0</v>
      </c>
      <c r="AJ298" s="650"/>
      <c r="AK298" s="649">
        <f t="shared" si="230"/>
        <v>0</v>
      </c>
      <c r="AL298" s="650"/>
      <c r="AM298" s="649">
        <f t="shared" si="231"/>
        <v>0</v>
      </c>
      <c r="AN298" s="650"/>
      <c r="AO298" s="649">
        <f t="shared" si="232"/>
        <v>0</v>
      </c>
      <c r="AP298" s="650"/>
      <c r="AQ298" s="649">
        <f t="shared" si="233"/>
        <v>0</v>
      </c>
      <c r="AR298" s="650"/>
      <c r="AS298" s="651">
        <f t="shared" si="234"/>
        <v>0</v>
      </c>
      <c r="AT298" s="652"/>
      <c r="AU298" s="141">
        <f t="shared" si="204"/>
        <v>0</v>
      </c>
      <c r="AV298" s="141">
        <f t="shared" si="205"/>
        <v>0</v>
      </c>
      <c r="AW298" s="141">
        <f t="shared" si="206"/>
        <v>0</v>
      </c>
      <c r="AX298" s="141">
        <f t="shared" si="207"/>
        <v>0</v>
      </c>
      <c r="AY298" s="141">
        <f t="shared" si="208"/>
        <v>0</v>
      </c>
      <c r="AZ298" s="141">
        <f t="shared" si="209"/>
        <v>0</v>
      </c>
      <c r="BA298" s="141">
        <f t="shared" si="210"/>
        <v>0</v>
      </c>
      <c r="BB298" s="141">
        <f t="shared" si="211"/>
        <v>0</v>
      </c>
      <c r="BC298" s="141">
        <f t="shared" si="212"/>
        <v>0</v>
      </c>
      <c r="BD298" s="141">
        <f t="shared" si="213"/>
        <v>0</v>
      </c>
      <c r="BE298" s="141">
        <f t="shared" si="214"/>
        <v>0</v>
      </c>
      <c r="BF298" s="141">
        <f t="shared" si="215"/>
        <v>0</v>
      </c>
      <c r="BG298" s="141">
        <f t="shared" si="235"/>
        <v>0</v>
      </c>
      <c r="BH298" s="141">
        <f t="shared" si="236"/>
        <v>0</v>
      </c>
      <c r="BI298" s="141">
        <f t="shared" si="216"/>
        <v>0</v>
      </c>
      <c r="BJ298" s="147">
        <f t="shared" si="217"/>
        <v>0</v>
      </c>
      <c r="BK298" s="141">
        <f t="shared" si="199"/>
        <v>0</v>
      </c>
      <c r="BL298" s="141">
        <f t="shared" si="200"/>
        <v>0</v>
      </c>
      <c r="BM298" s="141">
        <f t="shared" si="237"/>
        <v>0</v>
      </c>
      <c r="BN298" s="141">
        <f t="shared" si="238"/>
        <v>0</v>
      </c>
      <c r="BO298" s="141">
        <f t="shared" si="239"/>
        <v>0</v>
      </c>
      <c r="BP298" s="141">
        <f t="shared" si="240"/>
        <v>0</v>
      </c>
      <c r="BT298" s="177"/>
      <c r="BU298" s="173"/>
      <c r="BV298" s="174"/>
      <c r="BW298" s="117"/>
      <c r="BX298" s="180"/>
      <c r="BY298" s="117"/>
      <c r="BZ298" s="181"/>
      <c r="CA298" s="182"/>
      <c r="CB298" s="176"/>
      <c r="CC298" s="176"/>
      <c r="CF298" s="170"/>
      <c r="CG298" s="171"/>
      <c r="CH298" s="170"/>
      <c r="CI298" s="171"/>
    </row>
    <row r="299" spans="2:87" s="108" customFormat="1" ht="15" hidden="1" customHeight="1">
      <c r="B299" s="109"/>
      <c r="C299" s="141" t="e">
        <f t="shared" si="218"/>
        <v>#NUM!</v>
      </c>
      <c r="D299" s="141">
        <f t="shared" si="197"/>
        <v>0</v>
      </c>
      <c r="E299" s="141" t="str">
        <f>IFERROR(DGET($BV$30:$CC$82,F299,G298:G299),"")</f>
        <v/>
      </c>
      <c r="F299" s="142">
        <f t="shared" si="219"/>
        <v>0</v>
      </c>
      <c r="G299" s="142" t="b">
        <f>IF(Q299&gt;0,IF(AND(S299&gt;0,S299&lt;2),CONCATENATE(Q299," ","0-2"),IF(AND(S299&gt;=2,S299&lt;8),CONCATENATE(Q299," ","2-8"),)))</f>
        <v>0</v>
      </c>
      <c r="H299" s="80">
        <f t="shared" si="201"/>
        <v>0</v>
      </c>
      <c r="I299" s="80" t="str">
        <f t="shared" si="202"/>
        <v/>
      </c>
      <c r="J299" s="76"/>
      <c r="K299" s="76"/>
      <c r="L299" s="76"/>
      <c r="M299" s="80"/>
      <c r="N299" s="79"/>
      <c r="O299" s="148"/>
      <c r="P299" s="77">
        <f t="shared" si="203"/>
        <v>0</v>
      </c>
      <c r="Q299" s="81"/>
      <c r="R299" s="77"/>
      <c r="S299" s="146">
        <f t="shared" si="220"/>
        <v>0</v>
      </c>
      <c r="T299" s="141" t="b">
        <f t="shared" si="221"/>
        <v>0</v>
      </c>
      <c r="U299" s="649">
        <f t="shared" si="222"/>
        <v>0</v>
      </c>
      <c r="V299" s="650"/>
      <c r="W299" s="649">
        <f t="shared" si="223"/>
        <v>0</v>
      </c>
      <c r="X299" s="650"/>
      <c r="Y299" s="649">
        <f t="shared" si="224"/>
        <v>0</v>
      </c>
      <c r="Z299" s="650"/>
      <c r="AA299" s="649">
        <f t="shared" si="225"/>
        <v>0</v>
      </c>
      <c r="AB299" s="650"/>
      <c r="AC299" s="649">
        <f t="shared" si="226"/>
        <v>0</v>
      </c>
      <c r="AD299" s="650"/>
      <c r="AE299" s="649">
        <f t="shared" si="227"/>
        <v>0</v>
      </c>
      <c r="AF299" s="650"/>
      <c r="AG299" s="649">
        <f t="shared" si="228"/>
        <v>0</v>
      </c>
      <c r="AH299" s="650"/>
      <c r="AI299" s="649">
        <f t="shared" si="229"/>
        <v>0</v>
      </c>
      <c r="AJ299" s="650"/>
      <c r="AK299" s="649">
        <f t="shared" si="230"/>
        <v>0</v>
      </c>
      <c r="AL299" s="650"/>
      <c r="AM299" s="649">
        <f t="shared" si="231"/>
        <v>0</v>
      </c>
      <c r="AN299" s="650"/>
      <c r="AO299" s="649">
        <f t="shared" si="232"/>
        <v>0</v>
      </c>
      <c r="AP299" s="650"/>
      <c r="AQ299" s="649">
        <f t="shared" si="233"/>
        <v>0</v>
      </c>
      <c r="AR299" s="650"/>
      <c r="AS299" s="651">
        <f t="shared" si="234"/>
        <v>0</v>
      </c>
      <c r="AT299" s="652"/>
      <c r="AU299" s="141">
        <f t="shared" si="204"/>
        <v>0</v>
      </c>
      <c r="AV299" s="141">
        <f t="shared" si="205"/>
        <v>0</v>
      </c>
      <c r="AW299" s="141">
        <f t="shared" si="206"/>
        <v>0</v>
      </c>
      <c r="AX299" s="141">
        <f t="shared" si="207"/>
        <v>0</v>
      </c>
      <c r="AY299" s="141">
        <f t="shared" si="208"/>
        <v>0</v>
      </c>
      <c r="AZ299" s="141">
        <f t="shared" si="209"/>
        <v>0</v>
      </c>
      <c r="BA299" s="141">
        <f t="shared" si="210"/>
        <v>0</v>
      </c>
      <c r="BB299" s="141">
        <f t="shared" si="211"/>
        <v>0</v>
      </c>
      <c r="BC299" s="141">
        <f t="shared" si="212"/>
        <v>0</v>
      </c>
      <c r="BD299" s="141">
        <f t="shared" si="213"/>
        <v>0</v>
      </c>
      <c r="BE299" s="141">
        <f t="shared" si="214"/>
        <v>0</v>
      </c>
      <c r="BF299" s="141">
        <f t="shared" si="215"/>
        <v>0</v>
      </c>
      <c r="BG299" s="141">
        <f t="shared" si="235"/>
        <v>0</v>
      </c>
      <c r="BH299" s="141">
        <f t="shared" si="236"/>
        <v>0</v>
      </c>
      <c r="BI299" s="141">
        <f t="shared" si="216"/>
        <v>0</v>
      </c>
      <c r="BJ299" s="147">
        <f t="shared" si="217"/>
        <v>0</v>
      </c>
      <c r="BK299" s="141">
        <f t="shared" si="199"/>
        <v>0</v>
      </c>
      <c r="BL299" s="141">
        <f t="shared" si="200"/>
        <v>0</v>
      </c>
      <c r="BM299" s="141">
        <f t="shared" si="237"/>
        <v>0</v>
      </c>
      <c r="BN299" s="141">
        <f t="shared" si="238"/>
        <v>0</v>
      </c>
      <c r="BO299" s="141">
        <f t="shared" si="239"/>
        <v>0</v>
      </c>
      <c r="BP299" s="141">
        <f t="shared" si="240"/>
        <v>0</v>
      </c>
      <c r="BT299" s="177"/>
      <c r="BU299" s="173"/>
      <c r="BV299" s="174"/>
      <c r="BW299" s="117"/>
      <c r="BX299" s="180"/>
      <c r="BY299" s="117"/>
      <c r="BZ299" s="181"/>
      <c r="CA299" s="182"/>
      <c r="CB299" s="176"/>
      <c r="CC299" s="176"/>
      <c r="CF299" s="170"/>
      <c r="CG299" s="171"/>
      <c r="CH299" s="170"/>
      <c r="CI299" s="171"/>
    </row>
    <row r="300" spans="2:87" s="108" customFormat="1" ht="15" hidden="1" customHeight="1">
      <c r="B300" s="109"/>
      <c r="C300" s="141" t="e">
        <f t="shared" si="218"/>
        <v>#NUM!</v>
      </c>
      <c r="D300" s="141">
        <f t="shared" si="197"/>
        <v>0</v>
      </c>
      <c r="E300" s="141"/>
      <c r="F300" s="142">
        <f t="shared" si="219"/>
        <v>0</v>
      </c>
      <c r="G300" s="143" t="s">
        <v>146</v>
      </c>
      <c r="H300" s="80">
        <f t="shared" si="201"/>
        <v>0</v>
      </c>
      <c r="I300" s="80" t="str">
        <f t="shared" si="202"/>
        <v/>
      </c>
      <c r="J300" s="144"/>
      <c r="K300" s="144"/>
      <c r="L300" s="144"/>
      <c r="M300" s="76"/>
      <c r="N300" s="77"/>
      <c r="O300" s="145"/>
      <c r="P300" s="77">
        <f t="shared" si="203"/>
        <v>0</v>
      </c>
      <c r="Q300" s="78"/>
      <c r="R300" s="79"/>
      <c r="S300" s="146">
        <f t="shared" si="220"/>
        <v>0</v>
      </c>
      <c r="T300" s="141" t="b">
        <f t="shared" si="221"/>
        <v>0</v>
      </c>
      <c r="U300" s="649">
        <f t="shared" si="222"/>
        <v>0</v>
      </c>
      <c r="V300" s="650"/>
      <c r="W300" s="649">
        <f t="shared" si="223"/>
        <v>0</v>
      </c>
      <c r="X300" s="650"/>
      <c r="Y300" s="649">
        <f t="shared" si="224"/>
        <v>0</v>
      </c>
      <c r="Z300" s="650"/>
      <c r="AA300" s="649">
        <f t="shared" si="225"/>
        <v>0</v>
      </c>
      <c r="AB300" s="650"/>
      <c r="AC300" s="649">
        <f t="shared" si="226"/>
        <v>0</v>
      </c>
      <c r="AD300" s="650"/>
      <c r="AE300" s="649">
        <f t="shared" si="227"/>
        <v>0</v>
      </c>
      <c r="AF300" s="650"/>
      <c r="AG300" s="649">
        <f t="shared" si="228"/>
        <v>0</v>
      </c>
      <c r="AH300" s="650"/>
      <c r="AI300" s="649">
        <f t="shared" si="229"/>
        <v>0</v>
      </c>
      <c r="AJ300" s="650"/>
      <c r="AK300" s="649">
        <f t="shared" si="230"/>
        <v>0</v>
      </c>
      <c r="AL300" s="650"/>
      <c r="AM300" s="649">
        <f t="shared" si="231"/>
        <v>0</v>
      </c>
      <c r="AN300" s="650"/>
      <c r="AO300" s="649">
        <f t="shared" si="232"/>
        <v>0</v>
      </c>
      <c r="AP300" s="650"/>
      <c r="AQ300" s="649">
        <f t="shared" si="233"/>
        <v>0</v>
      </c>
      <c r="AR300" s="650"/>
      <c r="AS300" s="651">
        <f t="shared" si="234"/>
        <v>0</v>
      </c>
      <c r="AT300" s="652"/>
      <c r="AU300" s="141">
        <f t="shared" si="204"/>
        <v>0</v>
      </c>
      <c r="AV300" s="141">
        <f t="shared" si="205"/>
        <v>0</v>
      </c>
      <c r="AW300" s="141">
        <f t="shared" si="206"/>
        <v>0</v>
      </c>
      <c r="AX300" s="141">
        <f t="shared" si="207"/>
        <v>0</v>
      </c>
      <c r="AY300" s="141">
        <f t="shared" si="208"/>
        <v>0</v>
      </c>
      <c r="AZ300" s="141">
        <f t="shared" si="209"/>
        <v>0</v>
      </c>
      <c r="BA300" s="141">
        <f t="shared" si="210"/>
        <v>0</v>
      </c>
      <c r="BB300" s="141">
        <f t="shared" si="211"/>
        <v>0</v>
      </c>
      <c r="BC300" s="141">
        <f t="shared" si="212"/>
        <v>0</v>
      </c>
      <c r="BD300" s="141">
        <f t="shared" si="213"/>
        <v>0</v>
      </c>
      <c r="BE300" s="141">
        <f t="shared" si="214"/>
        <v>0</v>
      </c>
      <c r="BF300" s="141">
        <f t="shared" si="215"/>
        <v>0</v>
      </c>
      <c r="BG300" s="141">
        <f t="shared" si="235"/>
        <v>0</v>
      </c>
      <c r="BH300" s="141">
        <f t="shared" si="236"/>
        <v>0</v>
      </c>
      <c r="BI300" s="141">
        <f t="shared" si="216"/>
        <v>0</v>
      </c>
      <c r="BJ300" s="147">
        <f t="shared" si="217"/>
        <v>0</v>
      </c>
      <c r="BK300" s="141">
        <f t="shared" si="199"/>
        <v>0</v>
      </c>
      <c r="BL300" s="141">
        <f t="shared" si="200"/>
        <v>0</v>
      </c>
      <c r="BM300" s="141">
        <f t="shared" si="237"/>
        <v>0</v>
      </c>
      <c r="BN300" s="141">
        <f t="shared" si="238"/>
        <v>0</v>
      </c>
      <c r="BO300" s="141">
        <f t="shared" si="239"/>
        <v>0</v>
      </c>
      <c r="BP300" s="141">
        <f t="shared" si="240"/>
        <v>0</v>
      </c>
      <c r="BT300" s="177"/>
      <c r="BU300" s="173"/>
      <c r="BV300" s="174"/>
      <c r="BW300" s="117"/>
      <c r="BX300" s="180"/>
      <c r="BY300" s="117"/>
      <c r="BZ300" s="181"/>
      <c r="CA300" s="182"/>
      <c r="CB300" s="176"/>
      <c r="CC300" s="176"/>
      <c r="CF300" s="170"/>
      <c r="CG300" s="171"/>
      <c r="CH300" s="170"/>
      <c r="CI300" s="171"/>
    </row>
    <row r="301" spans="2:87" s="108" customFormat="1" ht="15" hidden="1" customHeight="1">
      <c r="B301" s="109"/>
      <c r="C301" s="141" t="e">
        <f t="shared" si="218"/>
        <v>#NUM!</v>
      </c>
      <c r="D301" s="141">
        <f t="shared" si="197"/>
        <v>0</v>
      </c>
      <c r="E301" s="141" t="str">
        <f>IFERROR(DGET($BV$30:$CC$82,F301,G300:G301),"")</f>
        <v/>
      </c>
      <c r="F301" s="142">
        <f t="shared" si="219"/>
        <v>0</v>
      </c>
      <c r="G301" s="142" t="b">
        <f>IF(Q301&gt;0,IF(AND(S301&gt;0,S301&lt;2),CONCATENATE(Q301," ","0-2"),IF(AND(S301&gt;=2,S301&lt;8),CONCATENATE(Q301," ","2-8"),)))</f>
        <v>0</v>
      </c>
      <c r="H301" s="80">
        <f t="shared" si="201"/>
        <v>0</v>
      </c>
      <c r="I301" s="80" t="str">
        <f t="shared" si="202"/>
        <v/>
      </c>
      <c r="J301" s="76"/>
      <c r="K301" s="76"/>
      <c r="L301" s="76"/>
      <c r="M301" s="80"/>
      <c r="N301" s="79"/>
      <c r="O301" s="148"/>
      <c r="P301" s="77">
        <f t="shared" si="203"/>
        <v>0</v>
      </c>
      <c r="Q301" s="81"/>
      <c r="R301" s="77"/>
      <c r="S301" s="146">
        <f t="shared" si="220"/>
        <v>0</v>
      </c>
      <c r="T301" s="141" t="b">
        <f t="shared" si="221"/>
        <v>0</v>
      </c>
      <c r="U301" s="649">
        <f t="shared" si="222"/>
        <v>0</v>
      </c>
      <c r="V301" s="650"/>
      <c r="W301" s="649">
        <f t="shared" si="223"/>
        <v>0</v>
      </c>
      <c r="X301" s="650"/>
      <c r="Y301" s="649">
        <f t="shared" si="224"/>
        <v>0</v>
      </c>
      <c r="Z301" s="650"/>
      <c r="AA301" s="649">
        <f t="shared" si="225"/>
        <v>0</v>
      </c>
      <c r="AB301" s="650"/>
      <c r="AC301" s="649">
        <f t="shared" si="226"/>
        <v>0</v>
      </c>
      <c r="AD301" s="650"/>
      <c r="AE301" s="649">
        <f t="shared" si="227"/>
        <v>0</v>
      </c>
      <c r="AF301" s="650"/>
      <c r="AG301" s="649">
        <f t="shared" si="228"/>
        <v>0</v>
      </c>
      <c r="AH301" s="650"/>
      <c r="AI301" s="649">
        <f t="shared" si="229"/>
        <v>0</v>
      </c>
      <c r="AJ301" s="650"/>
      <c r="AK301" s="649">
        <f t="shared" si="230"/>
        <v>0</v>
      </c>
      <c r="AL301" s="650"/>
      <c r="AM301" s="649">
        <f t="shared" si="231"/>
        <v>0</v>
      </c>
      <c r="AN301" s="650"/>
      <c r="AO301" s="649">
        <f t="shared" si="232"/>
        <v>0</v>
      </c>
      <c r="AP301" s="650"/>
      <c r="AQ301" s="649">
        <f t="shared" si="233"/>
        <v>0</v>
      </c>
      <c r="AR301" s="650"/>
      <c r="AS301" s="651">
        <f t="shared" si="234"/>
        <v>0</v>
      </c>
      <c r="AT301" s="652"/>
      <c r="AU301" s="141">
        <f t="shared" si="204"/>
        <v>0</v>
      </c>
      <c r="AV301" s="141">
        <f t="shared" si="205"/>
        <v>0</v>
      </c>
      <c r="AW301" s="141">
        <f t="shared" si="206"/>
        <v>0</v>
      </c>
      <c r="AX301" s="141">
        <f t="shared" si="207"/>
        <v>0</v>
      </c>
      <c r="AY301" s="141">
        <f t="shared" si="208"/>
        <v>0</v>
      </c>
      <c r="AZ301" s="141">
        <f t="shared" si="209"/>
        <v>0</v>
      </c>
      <c r="BA301" s="141">
        <f t="shared" si="210"/>
        <v>0</v>
      </c>
      <c r="BB301" s="141">
        <f t="shared" si="211"/>
        <v>0</v>
      </c>
      <c r="BC301" s="141">
        <f t="shared" si="212"/>
        <v>0</v>
      </c>
      <c r="BD301" s="141">
        <f t="shared" si="213"/>
        <v>0</v>
      </c>
      <c r="BE301" s="141">
        <f t="shared" si="214"/>
        <v>0</v>
      </c>
      <c r="BF301" s="141">
        <f t="shared" si="215"/>
        <v>0</v>
      </c>
      <c r="BG301" s="141">
        <f t="shared" si="235"/>
        <v>0</v>
      </c>
      <c r="BH301" s="141">
        <f t="shared" si="236"/>
        <v>0</v>
      </c>
      <c r="BI301" s="141">
        <f t="shared" si="216"/>
        <v>0</v>
      </c>
      <c r="BJ301" s="147">
        <f t="shared" si="217"/>
        <v>0</v>
      </c>
      <c r="BK301" s="141">
        <f t="shared" si="199"/>
        <v>0</v>
      </c>
      <c r="BL301" s="141">
        <f t="shared" si="200"/>
        <v>0</v>
      </c>
      <c r="BM301" s="141">
        <f t="shared" si="237"/>
        <v>0</v>
      </c>
      <c r="BN301" s="141">
        <f t="shared" si="238"/>
        <v>0</v>
      </c>
      <c r="BO301" s="141">
        <f t="shared" si="239"/>
        <v>0</v>
      </c>
      <c r="BP301" s="141">
        <f t="shared" si="240"/>
        <v>0</v>
      </c>
      <c r="BT301" s="177"/>
      <c r="BU301" s="173"/>
      <c r="BV301" s="174"/>
      <c r="BW301" s="117"/>
      <c r="BX301" s="180"/>
      <c r="BY301" s="117"/>
      <c r="BZ301" s="181"/>
      <c r="CA301" s="182"/>
      <c r="CB301" s="176"/>
      <c r="CC301" s="176"/>
      <c r="CF301" s="170"/>
      <c r="CG301" s="171"/>
      <c r="CH301" s="170"/>
      <c r="CI301" s="171"/>
    </row>
    <row r="302" spans="2:87" s="108" customFormat="1" hidden="1">
      <c r="B302" s="109"/>
      <c r="C302" s="141" t="e">
        <f t="shared" si="218"/>
        <v>#NUM!</v>
      </c>
      <c r="D302" s="141">
        <f t="shared" si="197"/>
        <v>0</v>
      </c>
      <c r="E302" s="141"/>
      <c r="F302" s="142">
        <f t="shared" si="219"/>
        <v>0</v>
      </c>
      <c r="G302" s="143" t="s">
        <v>146</v>
      </c>
      <c r="H302" s="80">
        <f t="shared" si="201"/>
        <v>0</v>
      </c>
      <c r="I302" s="80" t="str">
        <f t="shared" si="202"/>
        <v/>
      </c>
      <c r="J302" s="144"/>
      <c r="K302" s="144"/>
      <c r="L302" s="144"/>
      <c r="M302" s="76"/>
      <c r="N302" s="77"/>
      <c r="O302" s="145"/>
      <c r="P302" s="77">
        <f t="shared" si="203"/>
        <v>0</v>
      </c>
      <c r="Q302" s="78"/>
      <c r="R302" s="79"/>
      <c r="S302" s="146">
        <f t="shared" si="220"/>
        <v>0</v>
      </c>
      <c r="T302" s="141" t="b">
        <f t="shared" si="221"/>
        <v>0</v>
      </c>
      <c r="U302" s="649">
        <f t="shared" si="222"/>
        <v>0</v>
      </c>
      <c r="V302" s="650"/>
      <c r="W302" s="649">
        <f t="shared" si="223"/>
        <v>0</v>
      </c>
      <c r="X302" s="650"/>
      <c r="Y302" s="649">
        <f t="shared" si="224"/>
        <v>0</v>
      </c>
      <c r="Z302" s="650"/>
      <c r="AA302" s="649">
        <f t="shared" si="225"/>
        <v>0</v>
      </c>
      <c r="AB302" s="650"/>
      <c r="AC302" s="649">
        <f t="shared" si="226"/>
        <v>0</v>
      </c>
      <c r="AD302" s="650"/>
      <c r="AE302" s="649">
        <f t="shared" si="227"/>
        <v>0</v>
      </c>
      <c r="AF302" s="650"/>
      <c r="AG302" s="649">
        <f t="shared" si="228"/>
        <v>0</v>
      </c>
      <c r="AH302" s="650"/>
      <c r="AI302" s="649">
        <f t="shared" si="229"/>
        <v>0</v>
      </c>
      <c r="AJ302" s="650"/>
      <c r="AK302" s="649">
        <f t="shared" si="230"/>
        <v>0</v>
      </c>
      <c r="AL302" s="650"/>
      <c r="AM302" s="649">
        <f t="shared" si="231"/>
        <v>0</v>
      </c>
      <c r="AN302" s="650"/>
      <c r="AO302" s="649">
        <f t="shared" si="232"/>
        <v>0</v>
      </c>
      <c r="AP302" s="650"/>
      <c r="AQ302" s="649">
        <f t="shared" si="233"/>
        <v>0</v>
      </c>
      <c r="AR302" s="650"/>
      <c r="AS302" s="651">
        <f t="shared" si="234"/>
        <v>0</v>
      </c>
      <c r="AT302" s="652"/>
      <c r="AU302" s="141">
        <f t="shared" si="204"/>
        <v>0</v>
      </c>
      <c r="AV302" s="141">
        <f t="shared" si="205"/>
        <v>0</v>
      </c>
      <c r="AW302" s="141">
        <f t="shared" si="206"/>
        <v>0</v>
      </c>
      <c r="AX302" s="141">
        <f t="shared" si="207"/>
        <v>0</v>
      </c>
      <c r="AY302" s="141">
        <f t="shared" si="208"/>
        <v>0</v>
      </c>
      <c r="AZ302" s="141">
        <f t="shared" si="209"/>
        <v>0</v>
      </c>
      <c r="BA302" s="141">
        <f t="shared" si="210"/>
        <v>0</v>
      </c>
      <c r="BB302" s="141">
        <f t="shared" si="211"/>
        <v>0</v>
      </c>
      <c r="BC302" s="141">
        <f t="shared" si="212"/>
        <v>0</v>
      </c>
      <c r="BD302" s="141">
        <f t="shared" si="213"/>
        <v>0</v>
      </c>
      <c r="BE302" s="141">
        <f t="shared" si="214"/>
        <v>0</v>
      </c>
      <c r="BF302" s="141">
        <f t="shared" si="215"/>
        <v>0</v>
      </c>
      <c r="BG302" s="141">
        <f t="shared" si="235"/>
        <v>0</v>
      </c>
      <c r="BH302" s="141">
        <f t="shared" si="236"/>
        <v>0</v>
      </c>
      <c r="BI302" s="141">
        <f t="shared" si="216"/>
        <v>0</v>
      </c>
      <c r="BJ302" s="147">
        <f t="shared" si="217"/>
        <v>0</v>
      </c>
      <c r="BK302" s="141">
        <f t="shared" si="199"/>
        <v>0</v>
      </c>
      <c r="BL302" s="141">
        <f t="shared" si="200"/>
        <v>0</v>
      </c>
      <c r="BM302" s="141">
        <f t="shared" si="237"/>
        <v>0</v>
      </c>
      <c r="BN302" s="141">
        <f t="shared" si="238"/>
        <v>0</v>
      </c>
      <c r="BO302" s="141">
        <f t="shared" si="239"/>
        <v>0</v>
      </c>
      <c r="BP302" s="141">
        <f t="shared" si="240"/>
        <v>0</v>
      </c>
      <c r="BT302" s="177"/>
      <c r="BU302" s="173"/>
      <c r="BV302" s="174"/>
      <c r="BW302" s="175"/>
      <c r="BX302" s="176"/>
      <c r="BY302" s="175"/>
      <c r="BZ302" s="176"/>
      <c r="CA302" s="176"/>
      <c r="CB302" s="176"/>
      <c r="CC302" s="176"/>
      <c r="CF302" s="170"/>
      <c r="CG302" s="171"/>
      <c r="CH302" s="170"/>
      <c r="CI302" s="171"/>
    </row>
    <row r="303" spans="2:87" s="108" customFormat="1" hidden="1">
      <c r="B303" s="109"/>
      <c r="C303" s="141" t="e">
        <f t="shared" si="218"/>
        <v>#NUM!</v>
      </c>
      <c r="D303" s="141">
        <f t="shared" si="197"/>
        <v>0</v>
      </c>
      <c r="E303" s="141" t="str">
        <f>IFERROR(DGET($BV$30:$CC$82,F303,G302:G303),"")</f>
        <v/>
      </c>
      <c r="F303" s="142">
        <f t="shared" si="219"/>
        <v>0</v>
      </c>
      <c r="G303" s="142" t="b">
        <f>IF(Q303&gt;0,IF(AND(S303&gt;0,S303&lt;2),CONCATENATE(Q303," ","0-2"),IF(AND(S303&gt;=2,S303&lt;8),CONCATENATE(Q303," ","2-8"),)))</f>
        <v>0</v>
      </c>
      <c r="H303" s="80">
        <f t="shared" si="201"/>
        <v>0</v>
      </c>
      <c r="I303" s="80" t="str">
        <f t="shared" si="202"/>
        <v/>
      </c>
      <c r="J303" s="76"/>
      <c r="K303" s="76"/>
      <c r="L303" s="76"/>
      <c r="M303" s="80"/>
      <c r="N303" s="79"/>
      <c r="O303" s="148"/>
      <c r="P303" s="77">
        <f t="shared" si="203"/>
        <v>0</v>
      </c>
      <c r="Q303" s="81"/>
      <c r="R303" s="77"/>
      <c r="S303" s="146">
        <f t="shared" si="220"/>
        <v>0</v>
      </c>
      <c r="T303" s="141" t="b">
        <f t="shared" si="221"/>
        <v>0</v>
      </c>
      <c r="U303" s="649">
        <f t="shared" si="222"/>
        <v>0</v>
      </c>
      <c r="V303" s="650"/>
      <c r="W303" s="649">
        <f t="shared" si="223"/>
        <v>0</v>
      </c>
      <c r="X303" s="650"/>
      <c r="Y303" s="649">
        <f t="shared" si="224"/>
        <v>0</v>
      </c>
      <c r="Z303" s="650"/>
      <c r="AA303" s="649">
        <f t="shared" si="225"/>
        <v>0</v>
      </c>
      <c r="AB303" s="650"/>
      <c r="AC303" s="649">
        <f t="shared" si="226"/>
        <v>0</v>
      </c>
      <c r="AD303" s="650"/>
      <c r="AE303" s="649">
        <f t="shared" si="227"/>
        <v>0</v>
      </c>
      <c r="AF303" s="650"/>
      <c r="AG303" s="649">
        <f t="shared" si="228"/>
        <v>0</v>
      </c>
      <c r="AH303" s="650"/>
      <c r="AI303" s="649">
        <f t="shared" si="229"/>
        <v>0</v>
      </c>
      <c r="AJ303" s="650"/>
      <c r="AK303" s="649">
        <f t="shared" si="230"/>
        <v>0</v>
      </c>
      <c r="AL303" s="650"/>
      <c r="AM303" s="649">
        <f t="shared" si="231"/>
        <v>0</v>
      </c>
      <c r="AN303" s="650"/>
      <c r="AO303" s="649">
        <f t="shared" si="232"/>
        <v>0</v>
      </c>
      <c r="AP303" s="650"/>
      <c r="AQ303" s="649">
        <f t="shared" si="233"/>
        <v>0</v>
      </c>
      <c r="AR303" s="650"/>
      <c r="AS303" s="651">
        <f t="shared" si="234"/>
        <v>0</v>
      </c>
      <c r="AT303" s="652"/>
      <c r="AU303" s="141">
        <f t="shared" si="204"/>
        <v>0</v>
      </c>
      <c r="AV303" s="141">
        <f t="shared" si="205"/>
        <v>0</v>
      </c>
      <c r="AW303" s="141">
        <f t="shared" si="206"/>
        <v>0</v>
      </c>
      <c r="AX303" s="141">
        <f t="shared" si="207"/>
        <v>0</v>
      </c>
      <c r="AY303" s="141">
        <f t="shared" si="208"/>
        <v>0</v>
      </c>
      <c r="AZ303" s="141">
        <f t="shared" si="209"/>
        <v>0</v>
      </c>
      <c r="BA303" s="141">
        <f t="shared" si="210"/>
        <v>0</v>
      </c>
      <c r="BB303" s="141">
        <f t="shared" si="211"/>
        <v>0</v>
      </c>
      <c r="BC303" s="141">
        <f t="shared" si="212"/>
        <v>0</v>
      </c>
      <c r="BD303" s="141">
        <f t="shared" si="213"/>
        <v>0</v>
      </c>
      <c r="BE303" s="141">
        <f t="shared" si="214"/>
        <v>0</v>
      </c>
      <c r="BF303" s="141">
        <f t="shared" si="215"/>
        <v>0</v>
      </c>
      <c r="BG303" s="141">
        <f t="shared" si="235"/>
        <v>0</v>
      </c>
      <c r="BH303" s="141">
        <f t="shared" si="236"/>
        <v>0</v>
      </c>
      <c r="BI303" s="141">
        <f t="shared" si="216"/>
        <v>0</v>
      </c>
      <c r="BJ303" s="147">
        <f t="shared" si="217"/>
        <v>0</v>
      </c>
      <c r="BK303" s="141">
        <f t="shared" si="199"/>
        <v>0</v>
      </c>
      <c r="BL303" s="141">
        <f t="shared" si="200"/>
        <v>0</v>
      </c>
      <c r="BM303" s="141">
        <f t="shared" si="237"/>
        <v>0</v>
      </c>
      <c r="BN303" s="141">
        <f t="shared" si="238"/>
        <v>0</v>
      </c>
      <c r="BO303" s="141">
        <f t="shared" si="239"/>
        <v>0</v>
      </c>
      <c r="BP303" s="141">
        <f t="shared" si="240"/>
        <v>0</v>
      </c>
      <c r="BT303" s="177"/>
      <c r="BU303" s="173"/>
      <c r="BV303" s="174"/>
      <c r="BW303" s="175"/>
      <c r="BX303" s="176"/>
      <c r="BY303" s="175"/>
      <c r="BZ303" s="176"/>
      <c r="CA303" s="176"/>
      <c r="CB303" s="176"/>
      <c r="CC303" s="176"/>
      <c r="CF303" s="170"/>
      <c r="CG303" s="171"/>
      <c r="CH303" s="170"/>
      <c r="CI303" s="171"/>
    </row>
    <row r="304" spans="2:87" s="108" customFormat="1" hidden="1">
      <c r="B304" s="109"/>
      <c r="C304" s="141" t="e">
        <f>IF(AND(LARGE(Q303:Q305,1)&gt;=$A$11,LARGE(Q303:Q305,1)&lt;=$B$11),500,IF(AND(LARGE(Q303:Q305,1)&gt;=$A$12,LARGE(Q303:Q305,1)&lt;=$B$12),500,IF(AND(LARGE(Q303:Q305,1)&gt;=$A$13,LARGE(Q303:Q305,1)&lt;=$B$13),600,IF(AND(LARGE(Q303:Q305,1)&gt;=$A$14,LARGE(Q303:Q305,1)&lt;=$B$14),700,IF(AND(LARGE(Q303:Q305,1)&gt;=$A$15,LARGE(Q303:Q305,1)&lt;=$B$15),800,IF(AND(LARGE(Q303:Q305,1)&gt;=$A$16,LARGE(Q303:Q305,1)&lt;=$B$16),900,IF(AND(LARGE(Q303:Q305,1)&gt;=$A$17,LARGE(Q303:Q305,1)&lt;=$B$17),1000,IF(AND(LARGE(Q303:Q305,1)&gt;=$A$18,LARGE(Q303:Q305,1)&lt;=$B$18),1100,IF(AND(LARGE(Q303:Q305,1)&gt;=$A$19,LARGE(Q303:Q305,1)&lt;=$B$19),1200)))))))))</f>
        <v>#NUM!</v>
      </c>
      <c r="D304" s="141">
        <f t="shared" si="197"/>
        <v>0</v>
      </c>
      <c r="E304" s="183"/>
      <c r="F304" s="184">
        <f t="shared" si="219"/>
        <v>0</v>
      </c>
      <c r="G304" s="185" t="s">
        <v>146</v>
      </c>
      <c r="H304" s="80">
        <f t="shared" si="201"/>
        <v>0</v>
      </c>
      <c r="I304" s="80" t="str">
        <f t="shared" si="202"/>
        <v/>
      </c>
      <c r="J304" s="144"/>
      <c r="K304" s="144"/>
      <c r="L304" s="144"/>
      <c r="M304" s="76"/>
      <c r="N304" s="77"/>
      <c r="O304" s="145"/>
      <c r="P304" s="77">
        <f t="shared" si="203"/>
        <v>0</v>
      </c>
      <c r="Q304" s="78"/>
      <c r="R304" s="79"/>
      <c r="S304" s="146">
        <f>IF(AND(L304="água"),((R303+R305)/2)+((H304/1000))+BJ304+VLOOKUP(Q304,$CH$31:$CI$52,2,0)+VLOOKUP(Q304,$CF$31:$CG$52,2,0),IF(Q304&gt;0,((R303+R305)/2)+((H304/1000))+BJ304,0))</f>
        <v>0</v>
      </c>
      <c r="T304" s="141" t="b">
        <f t="shared" si="221"/>
        <v>0</v>
      </c>
      <c r="U304" s="649">
        <f t="shared" si="222"/>
        <v>0</v>
      </c>
      <c r="V304" s="650"/>
      <c r="W304" s="649">
        <f t="shared" si="223"/>
        <v>0</v>
      </c>
      <c r="X304" s="650"/>
      <c r="Y304" s="649">
        <f t="shared" si="224"/>
        <v>0</v>
      </c>
      <c r="Z304" s="650"/>
      <c r="AA304" s="649">
        <f t="shared" si="225"/>
        <v>0</v>
      </c>
      <c r="AB304" s="650"/>
      <c r="AC304" s="649">
        <f t="shared" si="226"/>
        <v>0</v>
      </c>
      <c r="AD304" s="650"/>
      <c r="AE304" s="649">
        <f t="shared" si="227"/>
        <v>0</v>
      </c>
      <c r="AF304" s="650"/>
      <c r="AG304" s="649">
        <f t="shared" si="228"/>
        <v>0</v>
      </c>
      <c r="AH304" s="650"/>
      <c r="AI304" s="649">
        <f t="shared" si="229"/>
        <v>0</v>
      </c>
      <c r="AJ304" s="650"/>
      <c r="AK304" s="649">
        <f t="shared" si="230"/>
        <v>0</v>
      </c>
      <c r="AL304" s="650"/>
      <c r="AM304" s="649">
        <f t="shared" si="231"/>
        <v>0</v>
      </c>
      <c r="AN304" s="650"/>
      <c r="AO304" s="649">
        <f t="shared" si="232"/>
        <v>0</v>
      </c>
      <c r="AP304" s="650"/>
      <c r="AQ304" s="649">
        <f t="shared" si="233"/>
        <v>0</v>
      </c>
      <c r="AR304" s="650"/>
      <c r="AS304" s="651">
        <f t="shared" si="234"/>
        <v>0</v>
      </c>
      <c r="AT304" s="652"/>
      <c r="AU304" s="141">
        <f t="shared" si="204"/>
        <v>0</v>
      </c>
      <c r="AV304" s="141">
        <f t="shared" si="205"/>
        <v>0</v>
      </c>
      <c r="AW304" s="141">
        <f t="shared" si="206"/>
        <v>0</v>
      </c>
      <c r="AX304" s="141">
        <f t="shared" si="207"/>
        <v>0</v>
      </c>
      <c r="AY304" s="141">
        <f t="shared" si="208"/>
        <v>0</v>
      </c>
      <c r="AZ304" s="141">
        <f t="shared" si="209"/>
        <v>0</v>
      </c>
      <c r="BA304" s="141">
        <f t="shared" si="210"/>
        <v>0</v>
      </c>
      <c r="BB304" s="141">
        <f t="shared" si="211"/>
        <v>0</v>
      </c>
      <c r="BC304" s="141">
        <f t="shared" si="212"/>
        <v>0</v>
      </c>
      <c r="BD304" s="141">
        <f t="shared" si="213"/>
        <v>0</v>
      </c>
      <c r="BE304" s="141">
        <f t="shared" si="214"/>
        <v>0</v>
      </c>
      <c r="BF304" s="141">
        <f t="shared" si="215"/>
        <v>0</v>
      </c>
      <c r="BG304" s="141">
        <f t="shared" si="235"/>
        <v>0</v>
      </c>
      <c r="BH304" s="141">
        <f t="shared" si="236"/>
        <v>0</v>
      </c>
      <c r="BI304" s="141">
        <f t="shared" si="216"/>
        <v>0</v>
      </c>
      <c r="BJ304" s="147">
        <f t="shared" si="217"/>
        <v>0</v>
      </c>
      <c r="BK304" s="141">
        <f t="shared" si="199"/>
        <v>0</v>
      </c>
      <c r="BL304" s="141">
        <f t="shared" si="200"/>
        <v>0</v>
      </c>
      <c r="BM304" s="141">
        <f t="shared" si="237"/>
        <v>0</v>
      </c>
      <c r="BN304" s="141">
        <f t="shared" si="238"/>
        <v>0</v>
      </c>
      <c r="BO304" s="141">
        <f t="shared" si="239"/>
        <v>0</v>
      </c>
      <c r="BP304" s="141">
        <f t="shared" si="240"/>
        <v>0</v>
      </c>
      <c r="BT304" s="177"/>
      <c r="BU304" s="173"/>
      <c r="BV304" s="174"/>
      <c r="BW304" s="175"/>
      <c r="BX304" s="176"/>
      <c r="BY304" s="175"/>
      <c r="BZ304" s="176"/>
      <c r="CA304" s="176"/>
      <c r="CB304" s="176"/>
      <c r="CC304" s="176"/>
      <c r="CF304" s="170"/>
      <c r="CG304" s="171"/>
      <c r="CH304" s="170"/>
      <c r="CI304" s="171"/>
    </row>
    <row r="305" spans="2:87" s="359" customFormat="1">
      <c r="B305" s="352"/>
      <c r="C305" s="353"/>
      <c r="D305" s="353"/>
      <c r="E305" s="353" t="str">
        <f>IFERROR(DGET($BV$30:$CC$82,F305,G304:G305),"")</f>
        <v/>
      </c>
      <c r="F305" s="354"/>
      <c r="G305" s="354"/>
      <c r="H305" s="355"/>
      <c r="I305" s="355"/>
      <c r="J305" s="356"/>
      <c r="K305" s="356"/>
      <c r="L305" s="356" t="s">
        <v>1</v>
      </c>
      <c r="M305" s="356"/>
      <c r="N305" s="357">
        <f>SUM(N28:N304)</f>
        <v>701.88</v>
      </c>
      <c r="O305" s="358"/>
      <c r="P305" s="357">
        <f>SUM(P28:P304)</f>
        <v>704.09749504066133</v>
      </c>
      <c r="Q305" s="357"/>
      <c r="R305" s="357"/>
      <c r="S305" s="357"/>
      <c r="T305" s="357">
        <f>SUM(T28:T304)</f>
        <v>6.2700000000000005</v>
      </c>
      <c r="U305" s="653">
        <f>SUM(U28:V304)</f>
        <v>0</v>
      </c>
      <c r="V305" s="654"/>
      <c r="W305" s="653">
        <f>SUM(W28:X304)</f>
        <v>0</v>
      </c>
      <c r="X305" s="654"/>
      <c r="Y305" s="653">
        <f>SUM(Y28:Z304)</f>
        <v>0</v>
      </c>
      <c r="Z305" s="654"/>
      <c r="AA305" s="653">
        <f>SUM(AA28:AB304)</f>
        <v>1142.5214062380778</v>
      </c>
      <c r="AB305" s="654"/>
      <c r="AC305" s="653">
        <f>SUM(AC28:AD304)</f>
        <v>248.20191397489137</v>
      </c>
      <c r="AD305" s="654"/>
      <c r="AE305" s="653">
        <f>SUM(AE28:AF304)</f>
        <v>0</v>
      </c>
      <c r="AF305" s="654"/>
      <c r="AG305" s="653">
        <f>SUM(AG28:AH304)</f>
        <v>0</v>
      </c>
      <c r="AH305" s="654"/>
      <c r="AI305" s="653">
        <f>SUM(AI28:AJ304)</f>
        <v>0</v>
      </c>
      <c r="AJ305" s="654"/>
      <c r="AK305" s="653">
        <f>SUM(AK28:AL304)</f>
        <v>0</v>
      </c>
      <c r="AL305" s="654"/>
      <c r="AM305" s="653">
        <f>SUM(AM28:AN304)</f>
        <v>315.67391212207838</v>
      </c>
      <c r="AN305" s="654"/>
      <c r="AO305" s="653">
        <f>SUM(AO28:AP304)</f>
        <v>144.83601843301892</v>
      </c>
      <c r="AP305" s="654"/>
      <c r="AQ305" s="653">
        <f>SUM(AQ28:AR304)</f>
        <v>0</v>
      </c>
      <c r="AR305" s="654"/>
      <c r="AS305" s="653">
        <f>SUM(AS28:AT304)</f>
        <v>0</v>
      </c>
      <c r="AT305" s="654"/>
      <c r="AU305" s="357">
        <f t="shared" ref="AU305:BI305" si="241">SUM(AU28:AU304)</f>
        <v>0</v>
      </c>
      <c r="AV305" s="357">
        <f t="shared" si="241"/>
        <v>2173.1718546915381</v>
      </c>
      <c r="AW305" s="357">
        <f t="shared" si="241"/>
        <v>0</v>
      </c>
      <c r="AX305" s="357">
        <f t="shared" si="241"/>
        <v>448.27146765323494</v>
      </c>
      <c r="AY305" s="357">
        <f t="shared" si="241"/>
        <v>0</v>
      </c>
      <c r="AZ305" s="357">
        <f t="shared" si="241"/>
        <v>0</v>
      </c>
      <c r="BA305" s="357">
        <f t="shared" si="241"/>
        <v>1851.2332507680665</v>
      </c>
      <c r="BB305" s="357">
        <f>SUM(BB28:BB304)</f>
        <v>1377.5290858585513</v>
      </c>
      <c r="BC305" s="357">
        <f>SUM(BC28:BC304)</f>
        <v>766.85587496104927</v>
      </c>
      <c r="BD305" s="357">
        <f t="shared" si="241"/>
        <v>293.15171005153411</v>
      </c>
      <c r="BE305" s="357">
        <f t="shared" si="241"/>
        <v>972.13021224010413</v>
      </c>
      <c r="BF305" s="357">
        <f t="shared" si="241"/>
        <v>0</v>
      </c>
      <c r="BG305" s="357">
        <f t="shared" si="241"/>
        <v>63.134782424415668</v>
      </c>
      <c r="BH305" s="357">
        <f t="shared" si="241"/>
        <v>21.044927474805224</v>
      </c>
      <c r="BI305" s="357">
        <f t="shared" si="241"/>
        <v>102.07961501815605</v>
      </c>
      <c r="BJ305" s="357"/>
      <c r="BK305" s="357">
        <f t="shared" ref="BK305:BP305" si="242">SUM(BK28:BK304)</f>
        <v>182.75988811932982</v>
      </c>
      <c r="BL305" s="357">
        <f t="shared" si="242"/>
        <v>467.6919287007039</v>
      </c>
      <c r="BM305" s="357">
        <f t="shared" si="242"/>
        <v>972.13021224010413</v>
      </c>
      <c r="BN305" s="357">
        <f t="shared" si="242"/>
        <v>0</v>
      </c>
      <c r="BO305" s="357">
        <f t="shared" si="242"/>
        <v>0</v>
      </c>
      <c r="BP305" s="357">
        <f t="shared" si="242"/>
        <v>0</v>
      </c>
      <c r="BT305" s="360"/>
      <c r="BU305" s="361"/>
      <c r="BV305" s="361"/>
      <c r="BW305" s="362"/>
      <c r="BX305" s="363"/>
      <c r="BY305" s="362"/>
      <c r="BZ305" s="363"/>
      <c r="CA305" s="363"/>
      <c r="CB305" s="363"/>
      <c r="CC305" s="363"/>
      <c r="CF305" s="364"/>
      <c r="CG305" s="365"/>
      <c r="CH305" s="364"/>
      <c r="CI305" s="365"/>
    </row>
    <row r="306" spans="2:87" s="108" customFormat="1">
      <c r="B306" s="109"/>
      <c r="C306" s="186"/>
      <c r="D306" s="186"/>
      <c r="E306" s="186"/>
      <c r="F306" s="186"/>
      <c r="G306" s="187"/>
      <c r="H306" s="83"/>
      <c r="I306" s="83"/>
      <c r="J306" s="83"/>
      <c r="K306" s="83"/>
      <c r="L306" s="83"/>
      <c r="M306" s="84"/>
      <c r="N306" s="85"/>
      <c r="O306" s="188"/>
      <c r="P306" s="85"/>
      <c r="Q306" s="86"/>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7"/>
      <c r="AV306" s="87"/>
      <c r="AW306" s="87"/>
      <c r="AX306" s="87"/>
      <c r="AY306" s="87"/>
      <c r="AZ306" s="87"/>
      <c r="BA306" s="85"/>
      <c r="BB306" s="189"/>
      <c r="BC306" s="189"/>
      <c r="BD306" s="189"/>
      <c r="BE306" s="189"/>
      <c r="BF306" s="189"/>
      <c r="BG306" s="189"/>
      <c r="BH306" s="189"/>
      <c r="BI306" s="85"/>
      <c r="BJ306" s="189"/>
      <c r="BK306" s="85"/>
      <c r="BL306" s="85"/>
      <c r="BM306" s="85"/>
      <c r="BN306" s="85"/>
      <c r="BO306" s="85"/>
      <c r="BP306" s="85"/>
      <c r="BT306" s="177"/>
      <c r="BU306" s="173"/>
      <c r="BV306" s="174"/>
      <c r="BW306" s="175"/>
      <c r="BX306" s="180"/>
      <c r="BY306" s="175"/>
      <c r="BZ306" s="176"/>
      <c r="CA306" s="176"/>
      <c r="CB306" s="176"/>
      <c r="CC306" s="176"/>
      <c r="CF306" s="190"/>
      <c r="CG306" s="171"/>
      <c r="CH306" s="170"/>
      <c r="CI306" s="171"/>
    </row>
    <row r="307" spans="2:87" s="108" customFormat="1">
      <c r="B307" s="109"/>
      <c r="C307" s="186"/>
      <c r="D307" s="186"/>
      <c r="E307" s="186"/>
      <c r="F307" s="186"/>
      <c r="G307" s="191"/>
      <c r="H307" s="83"/>
      <c r="I307" s="83"/>
      <c r="J307" s="83"/>
      <c r="K307" s="83"/>
      <c r="L307" s="83"/>
      <c r="M307" s="84"/>
      <c r="N307" s="85"/>
      <c r="O307" s="188"/>
      <c r="P307" s="85"/>
      <c r="Q307" s="86"/>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7"/>
      <c r="AV307" s="87"/>
      <c r="AW307" s="87"/>
      <c r="AX307" s="87"/>
      <c r="AY307" s="87"/>
      <c r="AZ307" s="87"/>
      <c r="BA307" s="85"/>
      <c r="BB307" s="189"/>
      <c r="BC307" s="189"/>
      <c r="BD307" s="189"/>
      <c r="BE307" s="189"/>
      <c r="BF307" s="189"/>
      <c r="BG307" s="189"/>
      <c r="BH307" s="189"/>
      <c r="BI307" s="85"/>
      <c r="BJ307" s="189"/>
      <c r="BK307" s="85"/>
      <c r="BL307" s="85"/>
      <c r="BM307" s="15"/>
      <c r="BN307" s="85"/>
      <c r="BO307" s="85"/>
      <c r="BP307" s="85"/>
      <c r="BR307" s="110"/>
      <c r="BT307" s="177"/>
      <c r="BU307" s="173"/>
      <c r="BV307" s="174"/>
      <c r="BW307" s="175"/>
      <c r="BX307" s="180"/>
      <c r="BY307" s="175"/>
      <c r="BZ307" s="176"/>
      <c r="CA307" s="176"/>
      <c r="CB307" s="176"/>
      <c r="CC307" s="176"/>
      <c r="CF307" s="190"/>
      <c r="CG307" s="190"/>
      <c r="CH307" s="190"/>
      <c r="CI307" s="110"/>
    </row>
    <row r="308" spans="2:87" s="108" customFormat="1">
      <c r="B308" s="109"/>
      <c r="C308" s="186"/>
      <c r="D308" s="186"/>
      <c r="E308" s="186"/>
      <c r="F308" s="186"/>
      <c r="G308" s="187"/>
      <c r="H308" s="83"/>
      <c r="I308" s="83"/>
      <c r="J308" s="83"/>
      <c r="K308" s="83"/>
      <c r="L308" s="83"/>
      <c r="M308" s="84"/>
      <c r="N308" s="85"/>
      <c r="O308" s="188"/>
      <c r="P308" s="85"/>
      <c r="Q308" s="86"/>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7"/>
      <c r="AV308" s="87"/>
      <c r="AW308" s="87"/>
      <c r="AX308" s="87"/>
      <c r="AY308" s="87"/>
      <c r="AZ308" s="87"/>
      <c r="BA308" s="85"/>
      <c r="BB308" s="189"/>
      <c r="BC308" s="189"/>
      <c r="BD308" s="189"/>
      <c r="BE308" s="189"/>
      <c r="BF308" s="189"/>
      <c r="BG308" s="189"/>
      <c r="BH308" s="189"/>
      <c r="BI308" s="85"/>
      <c r="BJ308" s="189"/>
      <c r="BK308" s="85"/>
      <c r="BL308" s="85"/>
      <c r="BM308" s="18"/>
      <c r="BN308" s="85"/>
      <c r="BO308" s="85"/>
      <c r="BP308" s="85"/>
      <c r="BT308" s="177"/>
      <c r="BU308" s="173"/>
      <c r="BV308" s="174"/>
      <c r="BW308" s="175"/>
      <c r="BX308" s="180"/>
      <c r="BY308" s="175"/>
      <c r="BZ308" s="176"/>
      <c r="CA308" s="176"/>
      <c r="CB308" s="176"/>
      <c r="CC308" s="176"/>
      <c r="CF308" s="190"/>
      <c r="CG308" s="190"/>
      <c r="CH308" s="190"/>
    </row>
    <row r="309" spans="2:87" s="108" customFormat="1">
      <c r="B309" s="109"/>
      <c r="C309" s="186"/>
      <c r="D309" s="186"/>
      <c r="E309" s="186"/>
      <c r="F309" s="186"/>
      <c r="G309" s="191"/>
      <c r="H309" s="83"/>
      <c r="I309" s="83"/>
      <c r="J309" s="83"/>
      <c r="K309" s="83"/>
      <c r="L309" s="83"/>
      <c r="M309" s="84"/>
      <c r="N309" s="85"/>
      <c r="O309" s="188"/>
      <c r="P309" s="85"/>
      <c r="Q309" s="86"/>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7"/>
      <c r="AV309" s="87"/>
      <c r="AW309" s="87"/>
      <c r="AX309" s="87"/>
      <c r="AY309" s="87"/>
      <c r="AZ309" s="87"/>
      <c r="BA309" s="85"/>
      <c r="BB309" s="189"/>
      <c r="BC309" s="189"/>
      <c r="BD309" s="189"/>
      <c r="BE309" s="189"/>
      <c r="BF309" s="189"/>
      <c r="BG309" s="189"/>
      <c r="BH309" s="189"/>
      <c r="BI309" s="85"/>
      <c r="BJ309" s="189"/>
      <c r="BK309" s="85"/>
      <c r="BL309" s="85"/>
      <c r="BM309" s="18"/>
      <c r="BN309" s="85"/>
      <c r="BO309" s="85"/>
      <c r="BP309" s="85"/>
      <c r="BT309" s="177"/>
      <c r="BU309" s="173"/>
      <c r="BV309" s="174"/>
      <c r="BW309" s="175"/>
      <c r="BX309" s="180"/>
      <c r="BY309" s="175"/>
      <c r="BZ309" s="176"/>
      <c r="CA309" s="176"/>
      <c r="CB309" s="176"/>
      <c r="CC309" s="176"/>
      <c r="CF309" s="190"/>
      <c r="CG309" s="190"/>
      <c r="CH309" s="190"/>
    </row>
    <row r="310" spans="2:87" s="108" customFormat="1">
      <c r="B310" s="109"/>
      <c r="C310" s="186"/>
      <c r="D310" s="186"/>
      <c r="E310" s="186"/>
      <c r="F310" s="186"/>
      <c r="G310" s="192"/>
      <c r="H310" s="83"/>
      <c r="I310" s="83"/>
      <c r="J310" s="83"/>
      <c r="K310" s="83"/>
      <c r="L310" s="83"/>
      <c r="M310" s="193"/>
      <c r="N310" s="85"/>
      <c r="O310" s="188"/>
      <c r="P310" s="85"/>
      <c r="Q310" s="86"/>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7"/>
      <c r="AV310" s="87"/>
      <c r="AW310" s="87"/>
      <c r="AX310" s="87"/>
      <c r="AY310" s="87"/>
      <c r="AZ310" s="87"/>
      <c r="BA310" s="85"/>
      <c r="BB310" s="189"/>
      <c r="BC310" s="189"/>
      <c r="BD310" s="189"/>
      <c r="BE310" s="189"/>
      <c r="BF310" s="189"/>
      <c r="BG310" s="189"/>
      <c r="BH310" s="189"/>
      <c r="BI310" s="85"/>
      <c r="BJ310" s="189"/>
      <c r="BK310" s="85"/>
      <c r="BL310" s="85"/>
      <c r="BM310" s="97"/>
      <c r="BN310" s="85"/>
      <c r="BO310" s="85"/>
      <c r="BP310" s="85"/>
      <c r="BT310" s="177"/>
      <c r="BU310" s="173"/>
      <c r="BV310" s="174"/>
      <c r="BW310" s="175"/>
      <c r="BX310" s="180"/>
      <c r="BY310" s="175"/>
      <c r="BZ310" s="176"/>
      <c r="CA310" s="176"/>
      <c r="CB310" s="176"/>
      <c r="CC310" s="176"/>
      <c r="CF310" s="190"/>
      <c r="CG310" s="190"/>
      <c r="CH310" s="190"/>
    </row>
    <row r="311" spans="2:87" s="108" customFormat="1">
      <c r="B311" s="109"/>
      <c r="C311" s="186"/>
      <c r="D311" s="186"/>
      <c r="E311" s="186"/>
      <c r="F311" s="186"/>
      <c r="G311" s="192"/>
      <c r="H311" s="83"/>
      <c r="I311" s="83"/>
      <c r="J311" s="85"/>
      <c r="K311" s="83"/>
      <c r="L311" s="83"/>
      <c r="M311" s="193"/>
      <c r="N311" s="85"/>
      <c r="O311" s="188"/>
      <c r="P311" s="85"/>
      <c r="Q311" s="86"/>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7"/>
      <c r="AV311" s="87"/>
      <c r="AW311" s="87"/>
      <c r="AX311" s="87"/>
      <c r="AY311" s="87"/>
      <c r="AZ311" s="87"/>
      <c r="BA311" s="85"/>
      <c r="BB311" s="189"/>
      <c r="BC311" s="189"/>
      <c r="BD311" s="189"/>
      <c r="BE311" s="189"/>
      <c r="BF311" s="189"/>
      <c r="BG311" s="189"/>
      <c r="BH311" s="189"/>
      <c r="BI311" s="85"/>
      <c r="BJ311" s="189"/>
      <c r="BK311" s="85"/>
      <c r="BL311" s="85"/>
      <c r="BM311" s="97"/>
      <c r="BN311" s="85"/>
      <c r="BO311" s="85"/>
      <c r="BP311" s="85"/>
      <c r="BT311" s="177"/>
      <c r="BU311" s="173"/>
      <c r="BV311" s="174"/>
      <c r="BW311" s="175"/>
      <c r="BX311" s="180"/>
      <c r="BY311" s="175"/>
      <c r="BZ311" s="176"/>
      <c r="CA311" s="176"/>
      <c r="CB311" s="176"/>
      <c r="CC311" s="176"/>
      <c r="CF311" s="110"/>
      <c r="CG311" s="110"/>
      <c r="CH311" s="110"/>
    </row>
    <row r="312" spans="2:87" s="108" customFormat="1">
      <c r="B312" s="109"/>
      <c r="C312" s="186"/>
      <c r="D312" s="186"/>
      <c r="E312" s="186"/>
      <c r="F312" s="186"/>
      <c r="G312" s="192"/>
      <c r="H312" s="83"/>
      <c r="I312" s="83"/>
      <c r="J312" s="83"/>
      <c r="K312" s="83"/>
      <c r="L312" s="83"/>
      <c r="M312" s="193"/>
      <c r="N312" s="85"/>
      <c r="O312" s="188"/>
      <c r="P312" s="85"/>
      <c r="Q312" s="86"/>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7"/>
      <c r="AV312" s="87"/>
      <c r="AW312" s="87"/>
      <c r="AX312" s="87"/>
      <c r="AY312" s="87"/>
      <c r="AZ312" s="87"/>
      <c r="BA312" s="85"/>
      <c r="BB312" s="189"/>
      <c r="BC312" s="189"/>
      <c r="BD312" s="189"/>
      <c r="BE312" s="189"/>
      <c r="BF312" s="189"/>
      <c r="BG312" s="189"/>
      <c r="BH312" s="189"/>
      <c r="BI312" s="85"/>
      <c r="BJ312" s="189"/>
      <c r="BK312" s="85"/>
      <c r="BL312" s="85"/>
      <c r="BM312" s="19"/>
      <c r="BN312" s="85"/>
      <c r="BO312" s="85"/>
      <c r="BP312" s="85"/>
      <c r="BT312" s="177"/>
      <c r="BU312" s="173"/>
      <c r="BV312" s="174"/>
      <c r="BW312" s="175"/>
      <c r="BX312" s="180"/>
      <c r="BY312" s="175"/>
      <c r="BZ312" s="176"/>
      <c r="CA312" s="176"/>
      <c r="CB312" s="176"/>
      <c r="CC312" s="176"/>
    </row>
    <row r="313" spans="2:87" s="108" customFormat="1">
      <c r="B313" s="109"/>
      <c r="C313" s="186"/>
      <c r="D313" s="186"/>
      <c r="E313" s="186"/>
      <c r="F313" s="186"/>
      <c r="G313" s="192"/>
      <c r="H313" s="83"/>
      <c r="I313" s="83"/>
      <c r="J313" s="83"/>
      <c r="K313" s="83"/>
      <c r="L313" s="83"/>
      <c r="M313" s="193"/>
      <c r="N313" s="85"/>
      <c r="O313" s="188"/>
      <c r="P313" s="85"/>
      <c r="Q313" s="86"/>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7"/>
      <c r="AV313" s="87"/>
      <c r="AW313" s="87"/>
      <c r="AX313" s="87"/>
      <c r="AY313" s="87"/>
      <c r="AZ313" s="87"/>
      <c r="BA313" s="85"/>
      <c r="BB313" s="189"/>
      <c r="BC313" s="189"/>
      <c r="BD313" s="189"/>
      <c r="BE313" s="189"/>
      <c r="BF313" s="189"/>
      <c r="BG313" s="189"/>
      <c r="BH313" s="189"/>
      <c r="BI313" s="85"/>
      <c r="BJ313" s="189"/>
      <c r="BK313" s="85"/>
      <c r="BL313" s="85"/>
      <c r="BM313" s="85"/>
      <c r="BN313" s="85"/>
      <c r="BO313" s="85"/>
      <c r="BP313" s="85"/>
      <c r="BT313" s="177"/>
      <c r="BU313" s="173"/>
      <c r="BV313" s="174"/>
      <c r="BW313" s="175"/>
      <c r="BX313" s="180"/>
      <c r="BY313" s="175"/>
      <c r="BZ313" s="176"/>
      <c r="CA313" s="176"/>
      <c r="CB313" s="176"/>
      <c r="CC313" s="176"/>
    </row>
    <row r="314" spans="2:87" s="108" customFormat="1">
      <c r="B314" s="109"/>
      <c r="C314" s="186"/>
      <c r="D314" s="186"/>
      <c r="E314" s="186"/>
      <c r="F314" s="186"/>
      <c r="G314" s="192"/>
      <c r="H314" s="83"/>
      <c r="I314" s="83"/>
      <c r="J314" s="83"/>
      <c r="K314" s="83"/>
      <c r="L314" s="83"/>
      <c r="M314" s="193"/>
      <c r="N314" s="85"/>
      <c r="O314" s="188"/>
      <c r="P314" s="85"/>
      <c r="Q314" s="86"/>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7"/>
      <c r="AV314" s="87"/>
      <c r="AW314" s="87"/>
      <c r="AX314" s="87"/>
      <c r="AY314" s="87"/>
      <c r="AZ314" s="87"/>
      <c r="BA314" s="85"/>
      <c r="BB314" s="189"/>
      <c r="BC314" s="189"/>
      <c r="BD314" s="189"/>
      <c r="BE314" s="189"/>
      <c r="BF314" s="189"/>
      <c r="BG314" s="189"/>
      <c r="BH314" s="189"/>
      <c r="BI314" s="85"/>
      <c r="BJ314" s="189"/>
      <c r="BK314" s="85"/>
      <c r="BL314" s="85"/>
      <c r="BM314" s="85"/>
      <c r="BN314" s="85"/>
      <c r="BO314" s="85"/>
      <c r="BP314" s="85"/>
      <c r="BT314" s="177"/>
      <c r="BU314" s="173"/>
      <c r="BV314" s="174"/>
      <c r="BW314" s="175"/>
      <c r="BX314" s="180"/>
      <c r="BY314" s="175"/>
      <c r="BZ314" s="176"/>
      <c r="CA314" s="176"/>
      <c r="CB314" s="176"/>
      <c r="CC314" s="176"/>
    </row>
    <row r="315" spans="2:87" s="108" customFormat="1">
      <c r="B315" s="109"/>
      <c r="C315" s="186"/>
      <c r="D315" s="186"/>
      <c r="E315" s="186"/>
      <c r="F315" s="186"/>
      <c r="G315" s="192"/>
      <c r="H315" s="83"/>
      <c r="I315" s="83"/>
      <c r="J315" s="83"/>
      <c r="K315" s="83"/>
      <c r="L315" s="83"/>
      <c r="M315" s="193"/>
      <c r="N315" s="85"/>
      <c r="O315" s="188"/>
      <c r="P315" s="85"/>
      <c r="Q315" s="86"/>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7"/>
      <c r="AV315" s="87"/>
      <c r="AW315" s="87"/>
      <c r="AX315" s="87"/>
      <c r="AY315" s="87"/>
      <c r="AZ315" s="87"/>
      <c r="BA315" s="85"/>
      <c r="BB315" s="189"/>
      <c r="BC315" s="189"/>
      <c r="BD315" s="189"/>
      <c r="BE315" s="189"/>
      <c r="BF315" s="189"/>
      <c r="BG315" s="189"/>
      <c r="BH315" s="189"/>
      <c r="BI315" s="85"/>
      <c r="BJ315" s="189"/>
      <c r="BK315" s="85"/>
      <c r="BL315" s="85"/>
      <c r="BM315" s="85"/>
      <c r="BN315" s="85"/>
      <c r="BO315" s="85"/>
      <c r="BP315" s="85"/>
      <c r="BT315" s="177"/>
      <c r="BU315" s="173"/>
      <c r="BV315" s="174"/>
      <c r="BW315" s="175"/>
      <c r="BX315" s="180"/>
      <c r="BY315" s="175"/>
      <c r="BZ315" s="176"/>
      <c r="CA315" s="176"/>
      <c r="CB315" s="176"/>
      <c r="CC315" s="176"/>
    </row>
    <row r="316" spans="2:87" s="108" customFormat="1">
      <c r="B316" s="109"/>
      <c r="C316" s="186"/>
      <c r="D316" s="186"/>
      <c r="E316" s="186"/>
      <c r="F316" s="186"/>
      <c r="G316" s="192"/>
      <c r="H316" s="83"/>
      <c r="I316" s="83"/>
      <c r="J316" s="83"/>
      <c r="K316" s="83"/>
      <c r="L316" s="83"/>
      <c r="M316" s="193"/>
      <c r="N316" s="85"/>
      <c r="O316" s="188"/>
      <c r="P316" s="85"/>
      <c r="Q316" s="86"/>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8"/>
      <c r="AV316" s="88"/>
      <c r="AW316" s="88"/>
      <c r="AX316" s="88"/>
      <c r="AY316" s="88"/>
      <c r="AZ316" s="88"/>
      <c r="BA316" s="85"/>
      <c r="BB316" s="189"/>
      <c r="BC316" s="189"/>
      <c r="BD316" s="189"/>
      <c r="BE316" s="189"/>
      <c r="BF316" s="189"/>
      <c r="BG316" s="189"/>
      <c r="BH316" s="189"/>
      <c r="BI316" s="85"/>
      <c r="BJ316" s="189"/>
      <c r="BK316" s="85"/>
      <c r="BL316" s="85"/>
      <c r="BM316" s="85"/>
      <c r="BN316" s="85"/>
      <c r="BO316" s="85"/>
      <c r="BP316" s="85"/>
      <c r="BT316" s="101"/>
      <c r="BU316" s="101"/>
      <c r="BV316" s="82"/>
      <c r="BX316" s="82"/>
      <c r="BZ316" s="140"/>
      <c r="CA316" s="59"/>
      <c r="CB316" s="59"/>
      <c r="CC316" s="59"/>
    </row>
    <row r="317" spans="2:87" s="108" customFormat="1">
      <c r="B317" s="109"/>
      <c r="C317" s="186"/>
      <c r="D317" s="186"/>
      <c r="E317" s="186"/>
      <c r="F317" s="186"/>
      <c r="G317" s="192"/>
      <c r="H317" s="83"/>
      <c r="I317" s="83"/>
      <c r="J317" s="83"/>
      <c r="K317" s="83"/>
      <c r="L317" s="83"/>
      <c r="M317" s="193"/>
      <c r="N317" s="85"/>
      <c r="O317" s="188"/>
      <c r="P317" s="85"/>
      <c r="Q317" s="86"/>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8"/>
      <c r="AV317" s="88"/>
      <c r="AW317" s="88"/>
      <c r="AX317" s="88"/>
      <c r="AY317" s="88"/>
      <c r="AZ317" s="88"/>
      <c r="BA317" s="85"/>
      <c r="BB317" s="189"/>
      <c r="BC317" s="189"/>
      <c r="BD317" s="189"/>
      <c r="BE317" s="189"/>
      <c r="BF317" s="189"/>
      <c r="BG317" s="189"/>
      <c r="BH317" s="189"/>
      <c r="BI317" s="85"/>
      <c r="BJ317" s="189"/>
      <c r="BK317" s="85"/>
      <c r="BL317" s="85"/>
      <c r="BM317" s="85"/>
      <c r="BN317" s="85"/>
      <c r="BO317" s="85"/>
      <c r="BP317" s="85"/>
      <c r="BT317" s="101"/>
      <c r="BU317" s="101"/>
      <c r="BV317" s="82"/>
      <c r="BX317" s="82"/>
      <c r="BZ317" s="140"/>
      <c r="CA317" s="59"/>
      <c r="CB317" s="59"/>
      <c r="CC317" s="59"/>
    </row>
    <row r="318" spans="2:87" s="108" customFormat="1">
      <c r="B318" s="109"/>
      <c r="C318" s="186"/>
      <c r="D318" s="186"/>
      <c r="E318" s="186"/>
      <c r="F318" s="186"/>
      <c r="G318" s="192"/>
      <c r="H318" s="83"/>
      <c r="I318" s="83"/>
      <c r="J318" s="83"/>
      <c r="K318" s="83"/>
      <c r="L318" s="83"/>
      <c r="M318" s="193"/>
      <c r="N318" s="85"/>
      <c r="O318" s="188"/>
      <c r="P318" s="85"/>
      <c r="Q318" s="86"/>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8"/>
      <c r="AV318" s="88"/>
      <c r="AW318" s="88"/>
      <c r="AX318" s="88"/>
      <c r="AY318" s="88"/>
      <c r="AZ318" s="88"/>
      <c r="BA318" s="85"/>
      <c r="BB318" s="189"/>
      <c r="BC318" s="189"/>
      <c r="BD318" s="189"/>
      <c r="BE318" s="189"/>
      <c r="BF318" s="189"/>
      <c r="BG318" s="189"/>
      <c r="BH318" s="189"/>
      <c r="BI318" s="85"/>
      <c r="BJ318" s="189"/>
      <c r="BK318" s="85"/>
      <c r="BL318" s="85"/>
      <c r="BM318" s="85"/>
      <c r="BN318" s="85"/>
      <c r="BO318" s="85"/>
      <c r="BP318" s="85"/>
      <c r="BT318" s="101"/>
      <c r="BU318" s="101"/>
      <c r="BV318" s="82"/>
      <c r="BX318" s="82"/>
      <c r="BZ318" s="140"/>
      <c r="CA318" s="59"/>
      <c r="CB318" s="59"/>
      <c r="CC318" s="59"/>
    </row>
    <row r="319" spans="2:87" s="108" customFormat="1">
      <c r="B319" s="109"/>
      <c r="C319" s="186"/>
      <c r="D319" s="186"/>
      <c r="E319" s="186"/>
      <c r="F319" s="186"/>
      <c r="G319" s="192"/>
      <c r="H319" s="83"/>
      <c r="I319" s="83"/>
      <c r="J319" s="83"/>
      <c r="K319" s="83"/>
      <c r="L319" s="83"/>
      <c r="M319" s="193"/>
      <c r="N319" s="85"/>
      <c r="O319" s="188"/>
      <c r="P319" s="85"/>
      <c r="Q319" s="86"/>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8"/>
      <c r="AV319" s="88"/>
      <c r="AW319" s="88"/>
      <c r="AX319" s="88"/>
      <c r="AY319" s="88"/>
      <c r="AZ319" s="88"/>
      <c r="BA319" s="85"/>
      <c r="BB319" s="189"/>
      <c r="BC319" s="189"/>
      <c r="BD319" s="189"/>
      <c r="BE319" s="189"/>
      <c r="BF319" s="189"/>
      <c r="BG319" s="189"/>
      <c r="BH319" s="189"/>
      <c r="BI319" s="85"/>
      <c r="BJ319" s="189"/>
      <c r="BK319" s="85"/>
      <c r="BL319" s="85"/>
      <c r="BM319" s="85"/>
      <c r="BN319" s="85"/>
      <c r="BO319" s="85"/>
      <c r="BP319" s="85"/>
      <c r="BT319" s="101"/>
      <c r="BU319" s="101"/>
      <c r="BV319" s="82"/>
      <c r="BX319" s="82"/>
      <c r="BZ319" s="140"/>
      <c r="CA319" s="59"/>
      <c r="CB319" s="59"/>
      <c r="CC319" s="59"/>
    </row>
    <row r="320" spans="2:87" s="108" customFormat="1">
      <c r="B320" s="109"/>
      <c r="C320" s="186"/>
      <c r="D320" s="186"/>
      <c r="E320" s="186"/>
      <c r="F320" s="186"/>
      <c r="G320" s="192"/>
      <c r="H320" s="83"/>
      <c r="I320" s="83"/>
      <c r="J320" s="83"/>
      <c r="K320" s="83"/>
      <c r="L320" s="83"/>
      <c r="M320" s="193"/>
      <c r="N320" s="85"/>
      <c r="O320" s="188"/>
      <c r="P320" s="85"/>
      <c r="Q320" s="86"/>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8"/>
      <c r="AV320" s="88"/>
      <c r="AW320" s="88"/>
      <c r="AX320" s="88"/>
      <c r="AY320" s="88"/>
      <c r="AZ320" s="88"/>
      <c r="BA320" s="85"/>
      <c r="BB320" s="189"/>
      <c r="BC320" s="189"/>
      <c r="BD320" s="189"/>
      <c r="BE320" s="189"/>
      <c r="BF320" s="189"/>
      <c r="BG320" s="189"/>
      <c r="BH320" s="189"/>
      <c r="BI320" s="85"/>
      <c r="BJ320" s="189"/>
      <c r="BK320" s="85"/>
      <c r="BL320" s="85"/>
      <c r="BM320" s="85"/>
      <c r="BN320" s="85"/>
      <c r="BO320" s="85"/>
      <c r="BP320" s="85"/>
      <c r="BT320" s="101"/>
      <c r="BU320" s="101"/>
      <c r="BV320" s="82"/>
      <c r="BX320" s="82"/>
      <c r="BZ320" s="140"/>
      <c r="CA320" s="59"/>
      <c r="CB320" s="59"/>
      <c r="CC320" s="59"/>
    </row>
    <row r="321" spans="2:81" s="108" customFormat="1">
      <c r="B321" s="109"/>
      <c r="C321" s="186"/>
      <c r="D321" s="186"/>
      <c r="E321" s="186"/>
      <c r="F321" s="186"/>
      <c r="G321" s="192"/>
      <c r="H321" s="83"/>
      <c r="I321" s="83"/>
      <c r="J321" s="83"/>
      <c r="K321" s="83"/>
      <c r="L321" s="83"/>
      <c r="M321" s="84"/>
      <c r="N321" s="85"/>
      <c r="O321" s="188"/>
      <c r="P321" s="85"/>
      <c r="Q321" s="86"/>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8"/>
      <c r="AV321" s="88"/>
      <c r="AW321" s="88"/>
      <c r="AX321" s="88"/>
      <c r="AY321" s="88"/>
      <c r="AZ321" s="88"/>
      <c r="BA321" s="85"/>
      <c r="BB321" s="189"/>
      <c r="BC321" s="189"/>
      <c r="BD321" s="189"/>
      <c r="BE321" s="189"/>
      <c r="BF321" s="189"/>
      <c r="BG321" s="189"/>
      <c r="BH321" s="189"/>
      <c r="BI321" s="85"/>
      <c r="BJ321" s="189"/>
      <c r="BK321" s="85"/>
      <c r="BL321" s="85"/>
      <c r="BM321" s="85"/>
      <c r="BN321" s="85"/>
      <c r="BO321" s="85"/>
      <c r="BP321" s="85"/>
      <c r="BT321" s="101"/>
      <c r="BU321" s="101"/>
      <c r="BV321" s="82"/>
      <c r="BX321" s="82"/>
      <c r="BZ321" s="140"/>
      <c r="CA321" s="59"/>
      <c r="CB321" s="59"/>
      <c r="CC321" s="59"/>
    </row>
    <row r="322" spans="2:81" s="108" customFormat="1">
      <c r="B322" s="109"/>
      <c r="C322" s="186"/>
      <c r="D322" s="186"/>
      <c r="E322" s="186"/>
      <c r="F322" s="186"/>
      <c r="G322" s="192"/>
      <c r="H322" s="83"/>
      <c r="I322" s="83"/>
      <c r="J322" s="83"/>
      <c r="K322" s="83"/>
      <c r="L322" s="83"/>
      <c r="M322" s="84"/>
      <c r="N322" s="85"/>
      <c r="O322" s="188"/>
      <c r="P322" s="85"/>
      <c r="Q322" s="86"/>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8"/>
      <c r="AV322" s="88"/>
      <c r="AW322" s="88"/>
      <c r="AX322" s="88"/>
      <c r="AY322" s="88"/>
      <c r="AZ322" s="88"/>
      <c r="BA322" s="85"/>
      <c r="BB322" s="189"/>
      <c r="BC322" s="189"/>
      <c r="BD322" s="189"/>
      <c r="BE322" s="189"/>
      <c r="BF322" s="189"/>
      <c r="BG322" s="189"/>
      <c r="BH322" s="189"/>
      <c r="BI322" s="85"/>
      <c r="BJ322" s="189"/>
      <c r="BK322" s="85"/>
      <c r="BL322" s="85"/>
      <c r="BM322" s="85"/>
      <c r="BN322" s="85"/>
      <c r="BO322" s="85"/>
      <c r="BP322" s="85"/>
      <c r="BT322" s="101"/>
      <c r="BU322" s="101"/>
      <c r="BV322" s="82"/>
      <c r="BX322" s="82"/>
      <c r="BZ322" s="140"/>
      <c r="CA322" s="59"/>
      <c r="CB322" s="59"/>
      <c r="CC322" s="59"/>
    </row>
    <row r="323" spans="2:81" s="108" customFormat="1">
      <c r="B323" s="109"/>
      <c r="C323" s="186"/>
      <c r="D323" s="186"/>
      <c r="E323" s="186"/>
      <c r="F323" s="186"/>
      <c r="G323" s="192"/>
      <c r="H323" s="83"/>
      <c r="I323" s="83"/>
      <c r="J323" s="83"/>
      <c r="K323" s="83"/>
      <c r="L323" s="83"/>
      <c r="M323" s="84"/>
      <c r="N323" s="85"/>
      <c r="O323" s="188"/>
      <c r="P323" s="85"/>
      <c r="Q323" s="86"/>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8"/>
      <c r="AV323" s="88"/>
      <c r="AW323" s="88"/>
      <c r="AX323" s="88"/>
      <c r="AY323" s="88"/>
      <c r="AZ323" s="88"/>
      <c r="BA323" s="85"/>
      <c r="BB323" s="189"/>
      <c r="BC323" s="189"/>
      <c r="BD323" s="189"/>
      <c r="BE323" s="189"/>
      <c r="BF323" s="189"/>
      <c r="BG323" s="189"/>
      <c r="BH323" s="189"/>
      <c r="BI323" s="85"/>
      <c r="BJ323" s="189"/>
      <c r="BK323" s="85"/>
      <c r="BL323" s="85"/>
      <c r="BM323" s="85"/>
      <c r="BN323" s="85"/>
      <c r="BO323" s="85"/>
      <c r="BP323" s="85"/>
      <c r="BT323" s="101"/>
      <c r="BU323" s="101"/>
      <c r="BV323" s="82"/>
      <c r="BX323" s="82"/>
      <c r="BZ323" s="140"/>
      <c r="CA323" s="59"/>
      <c r="CB323" s="59"/>
      <c r="CC323" s="59"/>
    </row>
    <row r="324" spans="2:81" s="108" customFormat="1">
      <c r="B324" s="109"/>
      <c r="C324" s="186"/>
      <c r="D324" s="186"/>
      <c r="E324" s="186"/>
      <c r="F324" s="186"/>
      <c r="G324" s="192"/>
      <c r="H324" s="83"/>
      <c r="I324" s="83"/>
      <c r="J324" s="83"/>
      <c r="K324" s="83"/>
      <c r="L324" s="83"/>
      <c r="M324" s="84"/>
      <c r="N324" s="85"/>
      <c r="O324" s="188"/>
      <c r="P324" s="85"/>
      <c r="Q324" s="86"/>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8"/>
      <c r="AV324" s="88"/>
      <c r="AW324" s="88"/>
      <c r="AX324" s="88"/>
      <c r="AY324" s="88"/>
      <c r="AZ324" s="88"/>
      <c r="BA324" s="85"/>
      <c r="BB324" s="189"/>
      <c r="BC324" s="189"/>
      <c r="BD324" s="189"/>
      <c r="BE324" s="189"/>
      <c r="BF324" s="189"/>
      <c r="BG324" s="189"/>
      <c r="BH324" s="189"/>
      <c r="BI324" s="85"/>
      <c r="BJ324" s="189"/>
      <c r="BK324" s="85"/>
      <c r="BL324" s="85"/>
      <c r="BM324" s="85"/>
      <c r="BN324" s="85"/>
      <c r="BO324" s="85"/>
      <c r="BP324" s="85"/>
      <c r="BT324" s="101"/>
      <c r="BU324" s="101"/>
      <c r="BV324" s="82"/>
      <c r="BX324" s="82"/>
      <c r="BZ324" s="140"/>
      <c r="CA324" s="59"/>
      <c r="CB324" s="59"/>
      <c r="CC324" s="59"/>
    </row>
    <row r="325" spans="2:81" s="108" customFormat="1">
      <c r="B325" s="109"/>
      <c r="C325" s="186"/>
      <c r="D325" s="186"/>
      <c r="E325" s="186"/>
      <c r="F325" s="186"/>
      <c r="G325" s="192"/>
      <c r="H325" s="83"/>
      <c r="I325" s="83"/>
      <c r="J325" s="83"/>
      <c r="K325" s="83"/>
      <c r="L325" s="83"/>
      <c r="M325" s="84"/>
      <c r="N325" s="85"/>
      <c r="O325" s="188"/>
      <c r="P325" s="85"/>
      <c r="Q325" s="86"/>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8"/>
      <c r="AV325" s="88"/>
      <c r="AW325" s="88"/>
      <c r="AX325" s="88"/>
      <c r="AY325" s="88"/>
      <c r="AZ325" s="88"/>
      <c r="BA325" s="85"/>
      <c r="BB325" s="189"/>
      <c r="BC325" s="189"/>
      <c r="BD325" s="189"/>
      <c r="BE325" s="189"/>
      <c r="BF325" s="189"/>
      <c r="BG325" s="189"/>
      <c r="BH325" s="189"/>
      <c r="BI325" s="85"/>
      <c r="BJ325" s="189"/>
      <c r="BK325" s="85"/>
      <c r="BL325" s="85"/>
      <c r="BM325" s="85"/>
      <c r="BN325" s="85"/>
      <c r="BO325" s="85"/>
      <c r="BP325" s="85"/>
      <c r="BT325" s="101"/>
      <c r="BU325" s="101"/>
      <c r="BV325" s="82"/>
      <c r="BX325" s="82"/>
      <c r="BZ325" s="140"/>
      <c r="CA325" s="59"/>
      <c r="CB325" s="59"/>
      <c r="CC325" s="59"/>
    </row>
    <row r="326" spans="2:81" s="108" customFormat="1">
      <c r="B326" s="109"/>
      <c r="C326" s="186"/>
      <c r="D326" s="186"/>
      <c r="E326" s="186"/>
      <c r="F326" s="186"/>
      <c r="G326" s="192"/>
      <c r="H326" s="83"/>
      <c r="I326" s="83"/>
      <c r="J326" s="83"/>
      <c r="K326" s="83"/>
      <c r="L326" s="83"/>
      <c r="M326" s="84"/>
      <c r="N326" s="85"/>
      <c r="O326" s="188"/>
      <c r="P326" s="85"/>
      <c r="Q326" s="86"/>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8"/>
      <c r="AV326" s="88"/>
      <c r="AW326" s="88"/>
      <c r="AX326" s="88"/>
      <c r="AY326" s="88"/>
      <c r="AZ326" s="88"/>
      <c r="BA326" s="85"/>
      <c r="BB326" s="189"/>
      <c r="BC326" s="189"/>
      <c r="BD326" s="189"/>
      <c r="BE326" s="189"/>
      <c r="BF326" s="189"/>
      <c r="BG326" s="189"/>
      <c r="BH326" s="189"/>
      <c r="BI326" s="85"/>
      <c r="BJ326" s="189"/>
      <c r="BK326" s="85"/>
      <c r="BL326" s="85"/>
      <c r="BM326" s="85"/>
      <c r="BN326" s="85"/>
      <c r="BO326" s="85"/>
      <c r="BP326" s="85"/>
      <c r="BT326" s="101"/>
      <c r="BU326" s="101"/>
      <c r="BV326" s="82"/>
      <c r="BX326" s="82"/>
      <c r="BZ326" s="140"/>
      <c r="CA326" s="59"/>
      <c r="CB326" s="59"/>
      <c r="CC326" s="59"/>
    </row>
    <row r="327" spans="2:81" s="108" customFormat="1">
      <c r="B327" s="109"/>
      <c r="C327" s="186"/>
      <c r="D327" s="186"/>
      <c r="E327" s="186"/>
      <c r="F327" s="186"/>
      <c r="G327" s="192"/>
      <c r="H327" s="83"/>
      <c r="I327" s="83"/>
      <c r="J327" s="83"/>
      <c r="K327" s="83"/>
      <c r="L327" s="83"/>
      <c r="M327" s="84"/>
      <c r="N327" s="85"/>
      <c r="O327" s="188"/>
      <c r="P327" s="85"/>
      <c r="Q327" s="86"/>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8"/>
      <c r="AV327" s="88"/>
      <c r="AW327" s="88"/>
      <c r="AX327" s="88"/>
      <c r="AY327" s="88"/>
      <c r="AZ327" s="88"/>
      <c r="BA327" s="85"/>
      <c r="BB327" s="189"/>
      <c r="BC327" s="189"/>
      <c r="BD327" s="189"/>
      <c r="BE327" s="189"/>
      <c r="BF327" s="189"/>
      <c r="BG327" s="189"/>
      <c r="BH327" s="189"/>
      <c r="BI327" s="85"/>
      <c r="BJ327" s="189"/>
      <c r="BK327" s="85"/>
      <c r="BL327" s="85"/>
      <c r="BM327" s="85"/>
      <c r="BN327" s="85"/>
      <c r="BO327" s="85"/>
      <c r="BP327" s="85"/>
      <c r="BT327" s="101"/>
      <c r="BU327" s="101"/>
      <c r="BV327" s="82"/>
      <c r="BX327" s="82"/>
      <c r="BZ327" s="140"/>
      <c r="CA327" s="59"/>
      <c r="CB327" s="59"/>
      <c r="CC327" s="59"/>
    </row>
    <row r="328" spans="2:81" s="108" customFormat="1">
      <c r="B328" s="109"/>
      <c r="C328" s="186"/>
      <c r="D328" s="186"/>
      <c r="E328" s="186"/>
      <c r="F328" s="186"/>
      <c r="G328" s="192"/>
      <c r="H328" s="83"/>
      <c r="I328" s="83"/>
      <c r="J328" s="83"/>
      <c r="K328" s="83"/>
      <c r="L328" s="83"/>
      <c r="M328" s="84"/>
      <c r="N328" s="85"/>
      <c r="O328" s="188"/>
      <c r="P328" s="85"/>
      <c r="Q328" s="86"/>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8"/>
      <c r="AV328" s="88"/>
      <c r="AW328" s="88"/>
      <c r="AX328" s="88"/>
      <c r="AY328" s="88"/>
      <c r="AZ328" s="88"/>
      <c r="BA328" s="85"/>
      <c r="BB328" s="189"/>
      <c r="BC328" s="189"/>
      <c r="BD328" s="189"/>
      <c r="BE328" s="189"/>
      <c r="BF328" s="189"/>
      <c r="BG328" s="189"/>
      <c r="BH328" s="189"/>
      <c r="BI328" s="85"/>
      <c r="BJ328" s="189"/>
      <c r="BK328" s="85"/>
      <c r="BL328" s="85"/>
      <c r="BM328" s="85"/>
      <c r="BN328" s="85"/>
      <c r="BO328" s="85"/>
      <c r="BP328" s="85"/>
      <c r="BT328" s="101"/>
      <c r="BU328" s="101"/>
      <c r="BV328" s="82"/>
      <c r="BX328" s="82"/>
      <c r="BZ328" s="140"/>
      <c r="CA328" s="59"/>
      <c r="CB328" s="59"/>
      <c r="CC328" s="59"/>
    </row>
    <row r="329" spans="2:81" s="108" customFormat="1">
      <c r="B329" s="109"/>
      <c r="C329" s="186"/>
      <c r="D329" s="186"/>
      <c r="E329" s="186"/>
      <c r="F329" s="186"/>
      <c r="G329" s="192"/>
      <c r="H329" s="83"/>
      <c r="I329" s="83"/>
      <c r="J329" s="83"/>
      <c r="K329" s="83"/>
      <c r="L329" s="83"/>
      <c r="M329" s="84"/>
      <c r="N329" s="85"/>
      <c r="O329" s="188"/>
      <c r="P329" s="85"/>
      <c r="Q329" s="86"/>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8"/>
      <c r="AV329" s="88"/>
      <c r="AW329" s="88"/>
      <c r="AX329" s="88"/>
      <c r="AY329" s="88"/>
      <c r="AZ329" s="88"/>
      <c r="BA329" s="85"/>
      <c r="BB329" s="189"/>
      <c r="BC329" s="189"/>
      <c r="BD329" s="189"/>
      <c r="BE329" s="189"/>
      <c r="BF329" s="189"/>
      <c r="BG329" s="189"/>
      <c r="BH329" s="189"/>
      <c r="BI329" s="85"/>
      <c r="BJ329" s="189"/>
      <c r="BK329" s="85"/>
      <c r="BL329" s="85"/>
      <c r="BM329" s="85"/>
      <c r="BN329" s="85"/>
      <c r="BO329" s="85"/>
      <c r="BP329" s="85"/>
      <c r="BT329" s="101"/>
      <c r="BU329" s="101"/>
      <c r="BV329" s="82"/>
      <c r="BX329" s="82"/>
      <c r="BZ329" s="140"/>
      <c r="CA329" s="59"/>
      <c r="CB329" s="59"/>
      <c r="CC329" s="59"/>
    </row>
    <row r="330" spans="2:81" s="108" customFormat="1">
      <c r="B330" s="109"/>
      <c r="C330" s="186"/>
      <c r="D330" s="186"/>
      <c r="E330" s="186"/>
      <c r="F330" s="186"/>
      <c r="G330" s="192"/>
      <c r="H330" s="83"/>
      <c r="I330" s="83"/>
      <c r="J330" s="83"/>
      <c r="K330" s="83"/>
      <c r="L330" s="83"/>
      <c r="M330" s="84"/>
      <c r="N330" s="85"/>
      <c r="O330" s="188"/>
      <c r="P330" s="85"/>
      <c r="Q330" s="86"/>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8"/>
      <c r="AV330" s="88"/>
      <c r="AW330" s="88"/>
      <c r="AX330" s="88"/>
      <c r="AY330" s="88"/>
      <c r="AZ330" s="88"/>
      <c r="BA330" s="85"/>
      <c r="BB330" s="189"/>
      <c r="BC330" s="189"/>
      <c r="BD330" s="189"/>
      <c r="BE330" s="189"/>
      <c r="BF330" s="189"/>
      <c r="BG330" s="189"/>
      <c r="BH330" s="189"/>
      <c r="BI330" s="85"/>
      <c r="BJ330" s="189"/>
      <c r="BK330" s="85"/>
      <c r="BL330" s="85"/>
      <c r="BM330" s="85"/>
      <c r="BN330" s="85"/>
      <c r="BO330" s="85"/>
      <c r="BP330" s="85"/>
      <c r="BT330" s="101"/>
      <c r="BU330" s="101"/>
      <c r="BV330" s="82"/>
      <c r="BX330" s="82"/>
      <c r="BZ330" s="140"/>
      <c r="CA330" s="59"/>
      <c r="CB330" s="59"/>
      <c r="CC330" s="59"/>
    </row>
    <row r="331" spans="2:81" s="108" customFormat="1">
      <c r="B331" s="109"/>
      <c r="C331" s="186"/>
      <c r="D331" s="186"/>
      <c r="E331" s="186"/>
      <c r="F331" s="186"/>
      <c r="G331" s="192"/>
      <c r="H331" s="83"/>
      <c r="I331" s="83"/>
      <c r="J331" s="83"/>
      <c r="K331" s="83"/>
      <c r="L331" s="83"/>
      <c r="M331" s="84"/>
      <c r="N331" s="85"/>
      <c r="O331" s="188"/>
      <c r="P331" s="85"/>
      <c r="Q331" s="86"/>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8"/>
      <c r="AV331" s="88"/>
      <c r="AW331" s="88"/>
      <c r="AX331" s="88"/>
      <c r="AY331" s="88"/>
      <c r="AZ331" s="88"/>
      <c r="BA331" s="85"/>
      <c r="BB331" s="189"/>
      <c r="BC331" s="189"/>
      <c r="BD331" s="189"/>
      <c r="BE331" s="189"/>
      <c r="BF331" s="189"/>
      <c r="BG331" s="189"/>
      <c r="BH331" s="189"/>
      <c r="BI331" s="85"/>
      <c r="BJ331" s="189"/>
      <c r="BK331" s="85"/>
      <c r="BL331" s="85"/>
      <c r="BM331" s="85"/>
      <c r="BN331" s="85"/>
      <c r="BO331" s="85"/>
      <c r="BP331" s="85"/>
      <c r="BT331" s="101"/>
      <c r="BU331" s="101"/>
      <c r="BV331" s="82"/>
      <c r="BX331" s="82"/>
      <c r="BZ331" s="140"/>
      <c r="CA331" s="59"/>
      <c r="CB331" s="59"/>
      <c r="CC331" s="59"/>
    </row>
    <row r="332" spans="2:81" s="108" customFormat="1">
      <c r="B332" s="109"/>
      <c r="C332" s="186"/>
      <c r="D332" s="186"/>
      <c r="E332" s="186"/>
      <c r="F332" s="186"/>
      <c r="G332" s="192"/>
      <c r="H332" s="83"/>
      <c r="I332" s="83"/>
      <c r="J332" s="83"/>
      <c r="K332" s="83"/>
      <c r="L332" s="83"/>
      <c r="M332" s="84"/>
      <c r="N332" s="85"/>
      <c r="O332" s="188"/>
      <c r="P332" s="85"/>
      <c r="Q332" s="86"/>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8"/>
      <c r="AV332" s="88"/>
      <c r="AW332" s="88"/>
      <c r="AX332" s="88"/>
      <c r="AY332" s="88"/>
      <c r="AZ332" s="88"/>
      <c r="BA332" s="85"/>
      <c r="BB332" s="189"/>
      <c r="BC332" s="189"/>
      <c r="BD332" s="189"/>
      <c r="BE332" s="189"/>
      <c r="BF332" s="189"/>
      <c r="BG332" s="189"/>
      <c r="BH332" s="189"/>
      <c r="BI332" s="85"/>
      <c r="BJ332" s="189"/>
      <c r="BK332" s="85"/>
      <c r="BL332" s="85"/>
      <c r="BM332" s="85"/>
      <c r="BN332" s="85"/>
      <c r="BO332" s="85"/>
      <c r="BP332" s="85"/>
      <c r="BT332" s="101"/>
      <c r="BU332" s="101"/>
      <c r="BV332" s="82"/>
      <c r="BX332" s="82"/>
      <c r="BZ332" s="140"/>
      <c r="CA332" s="59"/>
      <c r="CB332" s="59"/>
      <c r="CC332" s="59"/>
    </row>
    <row r="333" spans="2:81" s="108" customFormat="1">
      <c r="B333" s="109"/>
      <c r="C333" s="186"/>
      <c r="D333" s="186"/>
      <c r="E333" s="186"/>
      <c r="F333" s="186"/>
      <c r="G333" s="192"/>
      <c r="H333" s="83"/>
      <c r="I333" s="83"/>
      <c r="J333" s="83"/>
      <c r="K333" s="83"/>
      <c r="L333" s="83"/>
      <c r="M333" s="84"/>
      <c r="N333" s="85"/>
      <c r="O333" s="188"/>
      <c r="P333" s="85"/>
      <c r="Q333" s="86"/>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8"/>
      <c r="AV333" s="88"/>
      <c r="AW333" s="88"/>
      <c r="AX333" s="88"/>
      <c r="AY333" s="88"/>
      <c r="AZ333" s="88"/>
      <c r="BA333" s="85"/>
      <c r="BB333" s="189"/>
      <c r="BC333" s="189"/>
      <c r="BD333" s="189"/>
      <c r="BE333" s="189"/>
      <c r="BF333" s="189"/>
      <c r="BG333" s="189"/>
      <c r="BH333" s="189"/>
      <c r="BI333" s="85"/>
      <c r="BJ333" s="189"/>
      <c r="BK333" s="85"/>
      <c r="BL333" s="85"/>
      <c r="BM333" s="85"/>
      <c r="BN333" s="85"/>
      <c r="BO333" s="85"/>
      <c r="BP333" s="85"/>
      <c r="BT333" s="101"/>
      <c r="BU333" s="101"/>
      <c r="BV333" s="82"/>
      <c r="BX333" s="82"/>
      <c r="BZ333" s="140"/>
      <c r="CA333" s="59"/>
      <c r="CB333" s="59"/>
      <c r="CC333" s="59"/>
    </row>
    <row r="334" spans="2:81" s="108" customFormat="1">
      <c r="B334" s="109"/>
      <c r="C334" s="186"/>
      <c r="D334" s="186"/>
      <c r="E334" s="186"/>
      <c r="F334" s="186"/>
      <c r="G334" s="192"/>
      <c r="H334" s="83"/>
      <c r="I334" s="83"/>
      <c r="J334" s="83"/>
      <c r="K334" s="83"/>
      <c r="L334" s="83"/>
      <c r="M334" s="84"/>
      <c r="N334" s="85"/>
      <c r="O334" s="188"/>
      <c r="P334" s="85"/>
      <c r="Q334" s="86"/>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8"/>
      <c r="AV334" s="88"/>
      <c r="AW334" s="88"/>
      <c r="AX334" s="88"/>
      <c r="AY334" s="88"/>
      <c r="AZ334" s="88"/>
      <c r="BA334" s="85"/>
      <c r="BB334" s="189"/>
      <c r="BC334" s="189"/>
      <c r="BD334" s="189"/>
      <c r="BE334" s="189"/>
      <c r="BF334" s="189"/>
      <c r="BG334" s="189"/>
      <c r="BH334" s="189"/>
      <c r="BI334" s="85"/>
      <c r="BJ334" s="189"/>
      <c r="BK334" s="85"/>
      <c r="BL334" s="85"/>
      <c r="BM334" s="85"/>
      <c r="BN334" s="85"/>
      <c r="BO334" s="85"/>
      <c r="BP334" s="85"/>
      <c r="BT334" s="101"/>
      <c r="BU334" s="101"/>
      <c r="BV334" s="82"/>
      <c r="BX334" s="82"/>
      <c r="BZ334" s="140"/>
      <c r="CA334" s="59"/>
      <c r="CB334" s="59"/>
      <c r="CC334" s="59"/>
    </row>
    <row r="335" spans="2:81" s="108" customFormat="1">
      <c r="B335" s="109"/>
      <c r="C335" s="186"/>
      <c r="D335" s="186"/>
      <c r="E335" s="186"/>
      <c r="F335" s="186"/>
      <c r="G335" s="192"/>
      <c r="H335" s="83"/>
      <c r="I335" s="83"/>
      <c r="J335" s="83"/>
      <c r="K335" s="83"/>
      <c r="L335" s="83"/>
      <c r="M335" s="84"/>
      <c r="N335" s="85"/>
      <c r="O335" s="188"/>
      <c r="P335" s="85"/>
      <c r="Q335" s="86"/>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8"/>
      <c r="AV335" s="88"/>
      <c r="AW335" s="88"/>
      <c r="AX335" s="88"/>
      <c r="AY335" s="88"/>
      <c r="AZ335" s="88"/>
      <c r="BA335" s="85"/>
      <c r="BB335" s="189"/>
      <c r="BC335" s="189"/>
      <c r="BD335" s="189"/>
      <c r="BE335" s="189"/>
      <c r="BF335" s="189"/>
      <c r="BG335" s="189"/>
      <c r="BH335" s="189"/>
      <c r="BI335" s="85"/>
      <c r="BJ335" s="189"/>
      <c r="BK335" s="85"/>
      <c r="BL335" s="85"/>
      <c r="BM335" s="85"/>
      <c r="BN335" s="85"/>
      <c r="BO335" s="85"/>
      <c r="BP335" s="85"/>
      <c r="BT335" s="101"/>
      <c r="BU335" s="101"/>
      <c r="BV335" s="82"/>
      <c r="BX335" s="82"/>
      <c r="BZ335" s="140"/>
      <c r="CA335" s="59"/>
      <c r="CB335" s="59"/>
      <c r="CC335" s="59"/>
    </row>
    <row r="336" spans="2:81" s="108" customFormat="1">
      <c r="B336" s="109"/>
      <c r="C336" s="186"/>
      <c r="D336" s="186"/>
      <c r="E336" s="186"/>
      <c r="F336" s="186"/>
      <c r="G336" s="192"/>
      <c r="H336" s="83"/>
      <c r="I336" s="83"/>
      <c r="J336" s="83"/>
      <c r="K336" s="83"/>
      <c r="L336" s="83"/>
      <c r="M336" s="84"/>
      <c r="N336" s="85"/>
      <c r="O336" s="188"/>
      <c r="P336" s="85"/>
      <c r="Q336" s="86"/>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8"/>
      <c r="AV336" s="88"/>
      <c r="AW336" s="88"/>
      <c r="AX336" s="88"/>
      <c r="AY336" s="88"/>
      <c r="AZ336" s="88"/>
      <c r="BA336" s="85"/>
      <c r="BB336" s="189"/>
      <c r="BC336" s="189"/>
      <c r="BD336" s="189"/>
      <c r="BE336" s="189"/>
      <c r="BF336" s="189"/>
      <c r="BG336" s="189"/>
      <c r="BH336" s="189"/>
      <c r="BI336" s="85"/>
      <c r="BJ336" s="189"/>
      <c r="BK336" s="85"/>
      <c r="BL336" s="85"/>
      <c r="BM336" s="85"/>
      <c r="BN336" s="85"/>
      <c r="BO336" s="85"/>
      <c r="BP336" s="85"/>
      <c r="BT336" s="101"/>
      <c r="BU336" s="101"/>
      <c r="BV336" s="82"/>
      <c r="BX336" s="82"/>
      <c r="BZ336" s="140"/>
      <c r="CA336" s="59"/>
      <c r="CB336" s="59"/>
      <c r="CC336" s="59"/>
    </row>
    <row r="337" spans="2:81" s="108" customFormat="1">
      <c r="B337" s="109"/>
      <c r="C337" s="186"/>
      <c r="D337" s="186"/>
      <c r="E337" s="186"/>
      <c r="F337" s="186"/>
      <c r="G337" s="192"/>
      <c r="H337" s="83"/>
      <c r="I337" s="83"/>
      <c r="J337" s="83"/>
      <c r="K337" s="83"/>
      <c r="L337" s="83"/>
      <c r="M337" s="84"/>
      <c r="N337" s="85"/>
      <c r="O337" s="188"/>
      <c r="P337" s="85"/>
      <c r="Q337" s="86"/>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8"/>
      <c r="AV337" s="88"/>
      <c r="AW337" s="88"/>
      <c r="AX337" s="88"/>
      <c r="AY337" s="88"/>
      <c r="AZ337" s="88"/>
      <c r="BA337" s="85"/>
      <c r="BB337" s="189"/>
      <c r="BC337" s="189"/>
      <c r="BD337" s="189"/>
      <c r="BE337" s="189"/>
      <c r="BF337" s="189"/>
      <c r="BG337" s="189"/>
      <c r="BH337" s="189"/>
      <c r="BI337" s="85"/>
      <c r="BJ337" s="189"/>
      <c r="BK337" s="85"/>
      <c r="BL337" s="85"/>
      <c r="BM337" s="85"/>
      <c r="BN337" s="85"/>
      <c r="BO337" s="85"/>
      <c r="BP337" s="85"/>
      <c r="BT337" s="101"/>
      <c r="BU337" s="101"/>
      <c r="BV337" s="82"/>
      <c r="BX337" s="82"/>
      <c r="BZ337" s="140"/>
      <c r="CA337" s="59"/>
      <c r="CB337" s="59"/>
      <c r="CC337" s="59"/>
    </row>
    <row r="338" spans="2:81" s="108" customFormat="1">
      <c r="B338" s="109"/>
      <c r="C338" s="186"/>
      <c r="D338" s="186"/>
      <c r="E338" s="186"/>
      <c r="F338" s="186"/>
      <c r="G338" s="192"/>
      <c r="H338" s="83"/>
      <c r="I338" s="83"/>
      <c r="J338" s="83"/>
      <c r="K338" s="83"/>
      <c r="L338" s="83"/>
      <c r="M338" s="84"/>
      <c r="N338" s="85"/>
      <c r="O338" s="188"/>
      <c r="P338" s="85"/>
      <c r="Q338" s="86"/>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8"/>
      <c r="AV338" s="88"/>
      <c r="AW338" s="88"/>
      <c r="AX338" s="88"/>
      <c r="AY338" s="88"/>
      <c r="AZ338" s="88"/>
      <c r="BA338" s="85"/>
      <c r="BB338" s="189"/>
      <c r="BC338" s="189"/>
      <c r="BD338" s="189"/>
      <c r="BE338" s="189"/>
      <c r="BF338" s="189"/>
      <c r="BG338" s="189"/>
      <c r="BH338" s="189"/>
      <c r="BI338" s="85"/>
      <c r="BJ338" s="189"/>
      <c r="BK338" s="85"/>
      <c r="BL338" s="85"/>
      <c r="BM338" s="85"/>
      <c r="BN338" s="85"/>
      <c r="BO338" s="85"/>
      <c r="BP338" s="85"/>
      <c r="BT338" s="101"/>
      <c r="BU338" s="101"/>
      <c r="BV338" s="82"/>
      <c r="BX338" s="82"/>
      <c r="BZ338" s="140"/>
      <c r="CA338" s="59"/>
      <c r="CB338" s="59"/>
      <c r="CC338" s="59"/>
    </row>
    <row r="339" spans="2:81" s="108" customFormat="1">
      <c r="B339" s="109"/>
      <c r="C339" s="186"/>
      <c r="D339" s="186"/>
      <c r="E339" s="186"/>
      <c r="F339" s="186"/>
      <c r="G339" s="192"/>
      <c r="H339" s="83"/>
      <c r="I339" s="83"/>
      <c r="J339" s="83"/>
      <c r="K339" s="83"/>
      <c r="L339" s="83"/>
      <c r="M339" s="84"/>
      <c r="N339" s="85"/>
      <c r="O339" s="188"/>
      <c r="P339" s="85"/>
      <c r="Q339" s="86"/>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8"/>
      <c r="AV339" s="88"/>
      <c r="AW339" s="88"/>
      <c r="AX339" s="88"/>
      <c r="AY339" s="88"/>
      <c r="AZ339" s="88"/>
      <c r="BA339" s="85"/>
      <c r="BB339" s="189"/>
      <c r="BC339" s="189"/>
      <c r="BD339" s="189"/>
      <c r="BE339" s="189"/>
      <c r="BF339" s="189"/>
      <c r="BG339" s="189"/>
      <c r="BH339" s="189"/>
      <c r="BI339" s="85"/>
      <c r="BJ339" s="189"/>
      <c r="BK339" s="85"/>
      <c r="BL339" s="85"/>
      <c r="BM339" s="85"/>
      <c r="BN339" s="85"/>
      <c r="BO339" s="85"/>
      <c r="BP339" s="85"/>
      <c r="BT339" s="101"/>
      <c r="BU339" s="101"/>
      <c r="BV339" s="82"/>
      <c r="BX339" s="82"/>
      <c r="BZ339" s="140"/>
      <c r="CA339" s="59"/>
      <c r="CB339" s="59"/>
      <c r="CC339" s="59"/>
    </row>
    <row r="340" spans="2:81" s="108" customFormat="1">
      <c r="B340" s="109"/>
      <c r="C340" s="186"/>
      <c r="D340" s="186"/>
      <c r="E340" s="186"/>
      <c r="F340" s="186"/>
      <c r="G340" s="192"/>
      <c r="H340" s="83"/>
      <c r="I340" s="83"/>
      <c r="J340" s="83"/>
      <c r="K340" s="83"/>
      <c r="L340" s="83"/>
      <c r="M340" s="84"/>
      <c r="N340" s="85"/>
      <c r="O340" s="188"/>
      <c r="P340" s="85"/>
      <c r="Q340" s="86"/>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8"/>
      <c r="AV340" s="88"/>
      <c r="AW340" s="88"/>
      <c r="AX340" s="88"/>
      <c r="AY340" s="88"/>
      <c r="AZ340" s="88"/>
      <c r="BA340" s="85"/>
      <c r="BB340" s="189"/>
      <c r="BC340" s="189"/>
      <c r="BD340" s="189"/>
      <c r="BE340" s="189"/>
      <c r="BF340" s="189"/>
      <c r="BG340" s="189"/>
      <c r="BH340" s="189"/>
      <c r="BI340" s="85"/>
      <c r="BJ340" s="189"/>
      <c r="BK340" s="85"/>
      <c r="BL340" s="85"/>
      <c r="BM340" s="85"/>
      <c r="BN340" s="85"/>
      <c r="BO340" s="85"/>
      <c r="BP340" s="85"/>
      <c r="BT340" s="101"/>
      <c r="BU340" s="101"/>
      <c r="BV340" s="82"/>
      <c r="BX340" s="82"/>
      <c r="BZ340" s="140"/>
      <c r="CA340" s="59"/>
      <c r="CB340" s="59"/>
      <c r="CC340" s="59"/>
    </row>
    <row r="341" spans="2:81" s="108" customFormat="1">
      <c r="B341" s="109"/>
      <c r="C341" s="186"/>
      <c r="D341" s="186"/>
      <c r="E341" s="186"/>
      <c r="F341" s="186"/>
      <c r="G341" s="192"/>
      <c r="H341" s="83"/>
      <c r="I341" s="83"/>
      <c r="J341" s="83"/>
      <c r="K341" s="83"/>
      <c r="L341" s="83"/>
      <c r="M341" s="84"/>
      <c r="N341" s="85"/>
      <c r="O341" s="188"/>
      <c r="P341" s="85"/>
      <c r="Q341" s="86"/>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8"/>
      <c r="AV341" s="88"/>
      <c r="AW341" s="88"/>
      <c r="AX341" s="88"/>
      <c r="AY341" s="88"/>
      <c r="AZ341" s="88"/>
      <c r="BA341" s="85"/>
      <c r="BB341" s="189"/>
      <c r="BC341" s="189"/>
      <c r="BD341" s="189"/>
      <c r="BE341" s="189"/>
      <c r="BF341" s="189"/>
      <c r="BG341" s="189"/>
      <c r="BH341" s="189"/>
      <c r="BI341" s="85"/>
      <c r="BJ341" s="189"/>
      <c r="BK341" s="85"/>
      <c r="BL341" s="85"/>
      <c r="BM341" s="85"/>
      <c r="BN341" s="85"/>
      <c r="BO341" s="85"/>
      <c r="BP341" s="85"/>
      <c r="BT341" s="101"/>
      <c r="BU341" s="101"/>
      <c r="BV341" s="82"/>
      <c r="BX341" s="82"/>
      <c r="BZ341" s="140"/>
      <c r="CA341" s="59"/>
      <c r="CB341" s="59"/>
      <c r="CC341" s="59"/>
    </row>
    <row r="342" spans="2:81" s="108" customFormat="1">
      <c r="B342" s="109"/>
      <c r="C342" s="186"/>
      <c r="D342" s="186"/>
      <c r="E342" s="186"/>
      <c r="F342" s="186"/>
      <c r="G342" s="192"/>
      <c r="H342" s="83"/>
      <c r="I342" s="83"/>
      <c r="J342" s="83"/>
      <c r="K342" s="83"/>
      <c r="L342" s="83"/>
      <c r="M342" s="84"/>
      <c r="N342" s="85"/>
      <c r="O342" s="188"/>
      <c r="P342" s="85"/>
      <c r="Q342" s="86"/>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8"/>
      <c r="AV342" s="88"/>
      <c r="AW342" s="88"/>
      <c r="AX342" s="88"/>
      <c r="AY342" s="88"/>
      <c r="AZ342" s="88"/>
      <c r="BA342" s="85"/>
      <c r="BB342" s="189"/>
      <c r="BC342" s="189"/>
      <c r="BD342" s="189"/>
      <c r="BE342" s="189"/>
      <c r="BF342" s="189"/>
      <c r="BG342" s="189"/>
      <c r="BH342" s="189"/>
      <c r="BI342" s="85"/>
      <c r="BJ342" s="189"/>
      <c r="BK342" s="85"/>
      <c r="BL342" s="85"/>
      <c r="BM342" s="85"/>
      <c r="BN342" s="85"/>
      <c r="BO342" s="85"/>
      <c r="BP342" s="85"/>
      <c r="BT342" s="101"/>
      <c r="BU342" s="101"/>
      <c r="BV342" s="82"/>
      <c r="BX342" s="82"/>
      <c r="BZ342" s="140"/>
      <c r="CA342" s="59"/>
      <c r="CB342" s="59"/>
      <c r="CC342" s="59"/>
    </row>
    <row r="343" spans="2:81" s="108" customFormat="1">
      <c r="B343" s="109"/>
      <c r="C343" s="186"/>
      <c r="D343" s="186"/>
      <c r="E343" s="186"/>
      <c r="F343" s="186"/>
      <c r="G343" s="192"/>
      <c r="H343" s="83"/>
      <c r="I343" s="83"/>
      <c r="J343" s="83"/>
      <c r="K343" s="83"/>
      <c r="L343" s="83"/>
      <c r="M343" s="84"/>
      <c r="N343" s="85"/>
      <c r="O343" s="188"/>
      <c r="P343" s="85"/>
      <c r="Q343" s="86"/>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8"/>
      <c r="AV343" s="88"/>
      <c r="AW343" s="88"/>
      <c r="AX343" s="88"/>
      <c r="AY343" s="88"/>
      <c r="AZ343" s="88"/>
      <c r="BA343" s="85"/>
      <c r="BB343" s="189"/>
      <c r="BC343" s="189"/>
      <c r="BD343" s="189"/>
      <c r="BE343" s="189"/>
      <c r="BF343" s="189"/>
      <c r="BG343" s="189"/>
      <c r="BH343" s="189"/>
      <c r="BI343" s="85"/>
      <c r="BJ343" s="189"/>
      <c r="BK343" s="85"/>
      <c r="BL343" s="85"/>
      <c r="BM343" s="85"/>
      <c r="BN343" s="85"/>
      <c r="BO343" s="85"/>
      <c r="BP343" s="85"/>
      <c r="BT343" s="101"/>
      <c r="BU343" s="101"/>
      <c r="BV343" s="82"/>
      <c r="BX343" s="82"/>
      <c r="BZ343" s="140"/>
      <c r="CA343" s="59"/>
      <c r="CB343" s="59"/>
      <c r="CC343" s="59"/>
    </row>
    <row r="344" spans="2:81" s="108" customFormat="1">
      <c r="B344" s="109"/>
      <c r="C344" s="186"/>
      <c r="D344" s="186"/>
      <c r="E344" s="186"/>
      <c r="F344" s="186"/>
      <c r="G344" s="192"/>
      <c r="H344" s="83"/>
      <c r="I344" s="83"/>
      <c r="J344" s="83"/>
      <c r="K344" s="83"/>
      <c r="L344" s="83"/>
      <c r="M344" s="84"/>
      <c r="N344" s="85"/>
      <c r="O344" s="188"/>
      <c r="P344" s="85"/>
      <c r="Q344" s="86"/>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8"/>
      <c r="AV344" s="88"/>
      <c r="AW344" s="88"/>
      <c r="AX344" s="88"/>
      <c r="AY344" s="88"/>
      <c r="AZ344" s="88"/>
      <c r="BA344" s="85"/>
      <c r="BB344" s="189"/>
      <c r="BC344" s="189"/>
      <c r="BD344" s="189"/>
      <c r="BE344" s="189"/>
      <c r="BF344" s="189"/>
      <c r="BG344" s="189"/>
      <c r="BH344" s="189"/>
      <c r="BI344" s="85"/>
      <c r="BJ344" s="189"/>
      <c r="BK344" s="85"/>
      <c r="BL344" s="85"/>
      <c r="BM344" s="85"/>
      <c r="BN344" s="85"/>
      <c r="BO344" s="85"/>
      <c r="BP344" s="85"/>
      <c r="BT344" s="101"/>
      <c r="BU344" s="101"/>
      <c r="BV344" s="82"/>
      <c r="BX344" s="82"/>
      <c r="BZ344" s="140"/>
      <c r="CA344" s="59"/>
      <c r="CB344" s="59"/>
      <c r="CC344" s="59"/>
    </row>
    <row r="345" spans="2:81" s="108" customFormat="1">
      <c r="B345" s="109"/>
      <c r="C345" s="186"/>
      <c r="D345" s="186"/>
      <c r="E345" s="186"/>
      <c r="F345" s="186"/>
      <c r="G345" s="192"/>
      <c r="H345" s="83"/>
      <c r="I345" s="83"/>
      <c r="J345" s="83"/>
      <c r="K345" s="83"/>
      <c r="L345" s="83"/>
      <c r="M345" s="84"/>
      <c r="N345" s="85"/>
      <c r="O345" s="188"/>
      <c r="P345" s="85"/>
      <c r="Q345" s="86"/>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8"/>
      <c r="AV345" s="88"/>
      <c r="AW345" s="88"/>
      <c r="AX345" s="88"/>
      <c r="AY345" s="88"/>
      <c r="AZ345" s="88"/>
      <c r="BA345" s="85"/>
      <c r="BB345" s="189"/>
      <c r="BC345" s="189"/>
      <c r="BD345" s="189"/>
      <c r="BE345" s="189"/>
      <c r="BF345" s="189"/>
      <c r="BG345" s="189"/>
      <c r="BH345" s="189"/>
      <c r="BI345" s="85"/>
      <c r="BJ345" s="189"/>
      <c r="BK345" s="85"/>
      <c r="BL345" s="85"/>
      <c r="BM345" s="85"/>
      <c r="BN345" s="85"/>
      <c r="BO345" s="85"/>
      <c r="BP345" s="85"/>
      <c r="BT345" s="101"/>
      <c r="BU345" s="101"/>
      <c r="BV345" s="82"/>
      <c r="BX345" s="82"/>
      <c r="BZ345" s="140"/>
      <c r="CA345" s="59"/>
      <c r="CB345" s="59"/>
      <c r="CC345" s="59"/>
    </row>
    <row r="346" spans="2:81" s="108" customFormat="1">
      <c r="B346" s="109"/>
      <c r="C346" s="186"/>
      <c r="D346" s="186"/>
      <c r="E346" s="186"/>
      <c r="F346" s="186"/>
      <c r="G346" s="192"/>
      <c r="H346" s="83"/>
      <c r="I346" s="83"/>
      <c r="J346" s="83"/>
      <c r="K346" s="83"/>
      <c r="L346" s="83"/>
      <c r="M346" s="84"/>
      <c r="N346" s="85"/>
      <c r="O346" s="188"/>
      <c r="P346" s="85"/>
      <c r="Q346" s="86"/>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8"/>
      <c r="AV346" s="88"/>
      <c r="AW346" s="88"/>
      <c r="AX346" s="88"/>
      <c r="AY346" s="88"/>
      <c r="AZ346" s="88"/>
      <c r="BA346" s="85"/>
      <c r="BB346" s="189"/>
      <c r="BC346" s="189"/>
      <c r="BD346" s="189"/>
      <c r="BE346" s="189"/>
      <c r="BF346" s="189"/>
      <c r="BG346" s="189"/>
      <c r="BH346" s="189"/>
      <c r="BI346" s="85"/>
      <c r="BJ346" s="189"/>
      <c r="BK346" s="85"/>
      <c r="BL346" s="85"/>
      <c r="BM346" s="85"/>
      <c r="BN346" s="85"/>
      <c r="BO346" s="85"/>
      <c r="BP346" s="85"/>
      <c r="BT346" s="101"/>
      <c r="BU346" s="101"/>
      <c r="BV346" s="82"/>
      <c r="BX346" s="82"/>
      <c r="BZ346" s="140"/>
      <c r="CA346" s="59"/>
      <c r="CB346" s="59"/>
      <c r="CC346" s="59"/>
    </row>
    <row r="347" spans="2:81" s="108" customFormat="1">
      <c r="B347" s="109"/>
      <c r="C347" s="186"/>
      <c r="D347" s="186"/>
      <c r="E347" s="186"/>
      <c r="F347" s="186"/>
      <c r="G347" s="192"/>
      <c r="H347" s="83"/>
      <c r="I347" s="83"/>
      <c r="J347" s="83"/>
      <c r="K347" s="83"/>
      <c r="L347" s="83"/>
      <c r="M347" s="84"/>
      <c r="N347" s="85"/>
      <c r="O347" s="188"/>
      <c r="P347" s="85"/>
      <c r="Q347" s="86"/>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8"/>
      <c r="AV347" s="88"/>
      <c r="AW347" s="88"/>
      <c r="AX347" s="88"/>
      <c r="AY347" s="88"/>
      <c r="AZ347" s="88"/>
      <c r="BA347" s="85"/>
      <c r="BB347" s="189"/>
      <c r="BC347" s="189"/>
      <c r="BD347" s="189"/>
      <c r="BE347" s="189"/>
      <c r="BF347" s="189"/>
      <c r="BG347" s="189"/>
      <c r="BH347" s="189"/>
      <c r="BI347" s="85"/>
      <c r="BJ347" s="189"/>
      <c r="BK347" s="85"/>
      <c r="BL347" s="85"/>
      <c r="BM347" s="85"/>
      <c r="BN347" s="85"/>
      <c r="BO347" s="85"/>
      <c r="BP347" s="85"/>
      <c r="BT347" s="101"/>
      <c r="BU347" s="101"/>
      <c r="BV347" s="82"/>
      <c r="BX347" s="82"/>
      <c r="BZ347" s="140"/>
      <c r="CA347" s="59"/>
      <c r="CB347" s="59"/>
      <c r="CC347" s="59"/>
    </row>
    <row r="348" spans="2:81" s="108" customFormat="1">
      <c r="B348" s="109"/>
      <c r="C348" s="186"/>
      <c r="D348" s="186"/>
      <c r="E348" s="186"/>
      <c r="F348" s="186"/>
      <c r="G348" s="192"/>
      <c r="H348" s="83"/>
      <c r="I348" s="83"/>
      <c r="J348" s="83"/>
      <c r="K348" s="83"/>
      <c r="L348" s="83"/>
      <c r="M348" s="84"/>
      <c r="N348" s="85"/>
      <c r="O348" s="188"/>
      <c r="P348" s="85"/>
      <c r="Q348" s="86"/>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8"/>
      <c r="AV348" s="88"/>
      <c r="AW348" s="88"/>
      <c r="AX348" s="88"/>
      <c r="AY348" s="88"/>
      <c r="AZ348" s="88"/>
      <c r="BA348" s="85"/>
      <c r="BB348" s="189"/>
      <c r="BC348" s="189"/>
      <c r="BD348" s="189"/>
      <c r="BE348" s="189"/>
      <c r="BF348" s="189"/>
      <c r="BG348" s="189"/>
      <c r="BH348" s="189"/>
      <c r="BI348" s="85"/>
      <c r="BJ348" s="189"/>
      <c r="BK348" s="85"/>
      <c r="BL348" s="85"/>
      <c r="BM348" s="85"/>
      <c r="BN348" s="85"/>
      <c r="BO348" s="85"/>
      <c r="BP348" s="85"/>
      <c r="CA348" s="59"/>
      <c r="CB348" s="59"/>
      <c r="CC348" s="59"/>
    </row>
    <row r="349" spans="2:81" s="108" customFormat="1">
      <c r="B349" s="109"/>
      <c r="C349" s="186"/>
      <c r="D349" s="186"/>
      <c r="E349" s="186"/>
      <c r="F349" s="186"/>
      <c r="G349" s="192"/>
      <c r="H349" s="83"/>
      <c r="I349" s="83"/>
      <c r="J349" s="83"/>
      <c r="K349" s="83"/>
      <c r="L349" s="83"/>
      <c r="M349" s="84"/>
      <c r="N349" s="85"/>
      <c r="O349" s="188"/>
      <c r="P349" s="85"/>
      <c r="Q349" s="86"/>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8"/>
      <c r="AV349" s="88"/>
      <c r="AW349" s="88"/>
      <c r="AX349" s="88"/>
      <c r="AY349" s="88"/>
      <c r="AZ349" s="88"/>
      <c r="BA349" s="85"/>
      <c r="BB349" s="189"/>
      <c r="BC349" s="189"/>
      <c r="BD349" s="189"/>
      <c r="BE349" s="189"/>
      <c r="BF349" s="189"/>
      <c r="BG349" s="189"/>
      <c r="BH349" s="189"/>
      <c r="BI349" s="85"/>
      <c r="BJ349" s="189"/>
      <c r="BK349" s="85"/>
      <c r="BL349" s="85"/>
      <c r="BM349" s="85"/>
      <c r="BN349" s="85"/>
      <c r="BO349" s="85"/>
      <c r="BP349" s="85"/>
      <c r="CA349" s="59"/>
      <c r="CB349" s="59"/>
      <c r="CC349" s="59"/>
    </row>
    <row r="350" spans="2:81" s="108" customFormat="1">
      <c r="B350" s="109"/>
      <c r="C350" s="186"/>
      <c r="D350" s="186"/>
      <c r="E350" s="186"/>
      <c r="F350" s="186"/>
      <c r="G350" s="192"/>
      <c r="H350" s="83"/>
      <c r="I350" s="83"/>
      <c r="J350" s="83"/>
      <c r="K350" s="83"/>
      <c r="L350" s="83"/>
      <c r="M350" s="84"/>
      <c r="N350" s="85"/>
      <c r="O350" s="188"/>
      <c r="P350" s="85"/>
      <c r="Q350" s="86"/>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8"/>
      <c r="AV350" s="88"/>
      <c r="AW350" s="88"/>
      <c r="AX350" s="88"/>
      <c r="AY350" s="88"/>
      <c r="AZ350" s="88"/>
      <c r="BA350" s="85"/>
      <c r="BB350" s="189"/>
      <c r="BC350" s="189"/>
      <c r="BD350" s="189"/>
      <c r="BE350" s="189"/>
      <c r="BF350" s="189"/>
      <c r="BG350" s="189"/>
      <c r="BH350" s="189"/>
      <c r="BI350" s="85"/>
      <c r="BJ350" s="189"/>
      <c r="BK350" s="85"/>
      <c r="BL350" s="85"/>
      <c r="BM350" s="85"/>
      <c r="BN350" s="85"/>
      <c r="BO350" s="85"/>
      <c r="BP350" s="85"/>
      <c r="CA350" s="59"/>
      <c r="CB350" s="59"/>
      <c r="CC350" s="59"/>
    </row>
    <row r="351" spans="2:81" s="194" customFormat="1" ht="26.25" customHeight="1">
      <c r="C351" s="186"/>
      <c r="D351" s="186"/>
      <c r="E351" s="186"/>
      <c r="F351" s="186"/>
      <c r="G351" s="192"/>
      <c r="H351" s="83"/>
      <c r="I351" s="83"/>
      <c r="J351" s="83"/>
      <c r="K351" s="83"/>
      <c r="L351" s="83"/>
      <c r="M351" s="84"/>
      <c r="N351" s="85"/>
      <c r="O351" s="188"/>
      <c r="P351" s="85"/>
      <c r="Q351" s="86"/>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8"/>
      <c r="AV351" s="88"/>
      <c r="AW351" s="88"/>
      <c r="AX351" s="88"/>
      <c r="AY351" s="88"/>
      <c r="AZ351" s="88"/>
      <c r="BA351" s="85"/>
      <c r="BB351" s="189"/>
      <c r="BC351" s="189"/>
      <c r="BD351" s="189"/>
      <c r="BE351" s="189"/>
      <c r="BF351" s="189"/>
      <c r="BG351" s="189"/>
      <c r="BH351" s="189"/>
      <c r="BI351" s="85"/>
      <c r="BJ351" s="189"/>
      <c r="BK351" s="85"/>
      <c r="BL351" s="85"/>
      <c r="BM351" s="85"/>
      <c r="BN351" s="85"/>
      <c r="BO351" s="85"/>
      <c r="BP351" s="85"/>
      <c r="CA351" s="75"/>
      <c r="CB351" s="75"/>
      <c r="CC351" s="75"/>
    </row>
    <row r="352" spans="2:81">
      <c r="H352" s="83"/>
      <c r="I352" s="83"/>
      <c r="J352" s="83"/>
      <c r="K352" s="83"/>
      <c r="L352" s="83"/>
      <c r="M352" s="84"/>
      <c r="N352" s="85"/>
      <c r="O352" s="188"/>
      <c r="P352" s="85"/>
      <c r="Q352" s="86"/>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BA352" s="85"/>
      <c r="BB352" s="189"/>
      <c r="BC352" s="189"/>
      <c r="BD352" s="189"/>
      <c r="BE352" s="189"/>
      <c r="BF352" s="189"/>
      <c r="BG352" s="189"/>
      <c r="BH352" s="189"/>
      <c r="BI352" s="85"/>
      <c r="BJ352" s="189"/>
      <c r="BK352" s="85"/>
      <c r="BL352" s="85"/>
      <c r="BM352" s="85"/>
      <c r="BN352" s="85"/>
      <c r="BO352" s="85"/>
      <c r="BP352" s="85"/>
    </row>
    <row r="353" spans="8:68">
      <c r="H353" s="83"/>
      <c r="I353" s="83"/>
      <c r="J353" s="83"/>
      <c r="K353" s="83"/>
      <c r="L353" s="83"/>
      <c r="M353" s="84"/>
      <c r="N353" s="85"/>
      <c r="O353" s="188"/>
      <c r="P353" s="85"/>
      <c r="Q353" s="86"/>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BA353" s="85"/>
      <c r="BB353" s="189"/>
      <c r="BC353" s="189"/>
      <c r="BD353" s="189"/>
      <c r="BE353" s="189"/>
      <c r="BF353" s="189"/>
      <c r="BG353" s="189"/>
      <c r="BH353" s="189"/>
      <c r="BI353" s="85"/>
      <c r="BJ353" s="189"/>
      <c r="BK353" s="85"/>
      <c r="BL353" s="85"/>
      <c r="BM353" s="85"/>
      <c r="BN353" s="85"/>
      <c r="BO353" s="85"/>
      <c r="BP353" s="85"/>
    </row>
    <row r="354" spans="8:68">
      <c r="H354" s="83"/>
      <c r="I354" s="83"/>
      <c r="J354" s="83"/>
      <c r="K354" s="83"/>
      <c r="L354" s="83"/>
      <c r="M354" s="84"/>
      <c r="N354" s="85"/>
      <c r="O354" s="188"/>
      <c r="P354" s="85"/>
      <c r="Q354" s="86"/>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BA354" s="85"/>
      <c r="BB354" s="189"/>
      <c r="BC354" s="189"/>
      <c r="BD354" s="189"/>
      <c r="BE354" s="189"/>
      <c r="BF354" s="189"/>
      <c r="BG354" s="189"/>
      <c r="BH354" s="189"/>
      <c r="BI354" s="85"/>
      <c r="BJ354" s="189"/>
      <c r="BK354" s="85"/>
      <c r="BL354" s="85"/>
      <c r="BM354" s="85"/>
      <c r="BN354" s="85"/>
      <c r="BO354" s="85"/>
      <c r="BP354" s="85"/>
    </row>
    <row r="355" spans="8:68">
      <c r="H355" s="83"/>
      <c r="I355" s="83"/>
      <c r="J355" s="83"/>
      <c r="K355" s="83"/>
      <c r="L355" s="83"/>
      <c r="M355" s="84"/>
      <c r="N355" s="85"/>
      <c r="O355" s="188"/>
      <c r="P355" s="85"/>
      <c r="Q355" s="86"/>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BA355" s="85"/>
      <c r="BB355" s="189"/>
      <c r="BC355" s="189"/>
      <c r="BD355" s="189"/>
      <c r="BE355" s="189"/>
      <c r="BF355" s="189"/>
      <c r="BG355" s="189"/>
      <c r="BH355" s="189"/>
      <c r="BI355" s="85"/>
      <c r="BJ355" s="189"/>
      <c r="BK355" s="85"/>
      <c r="BL355" s="85"/>
      <c r="BM355" s="85"/>
      <c r="BN355" s="85"/>
      <c r="BO355" s="85"/>
      <c r="BP355" s="85"/>
    </row>
    <row r="356" spans="8:68">
      <c r="H356" s="83"/>
      <c r="I356" s="83"/>
      <c r="J356" s="83"/>
      <c r="K356" s="83"/>
      <c r="L356" s="83"/>
      <c r="M356" s="84"/>
      <c r="N356" s="85"/>
      <c r="O356" s="188"/>
      <c r="P356" s="85"/>
      <c r="Q356" s="86"/>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BA356" s="85"/>
      <c r="BB356" s="189"/>
      <c r="BC356" s="189"/>
      <c r="BD356" s="189"/>
      <c r="BE356" s="189"/>
      <c r="BF356" s="189"/>
      <c r="BG356" s="189"/>
      <c r="BH356" s="189"/>
      <c r="BI356" s="85"/>
      <c r="BJ356" s="189"/>
      <c r="BK356" s="85"/>
      <c r="BL356" s="85"/>
      <c r="BM356" s="85"/>
      <c r="BN356" s="85"/>
      <c r="BO356" s="85"/>
      <c r="BP356" s="85"/>
    </row>
    <row r="357" spans="8:68">
      <c r="H357" s="83"/>
      <c r="I357" s="83"/>
      <c r="J357" s="83"/>
      <c r="K357" s="83"/>
      <c r="L357" s="83"/>
      <c r="M357" s="84"/>
      <c r="N357" s="85"/>
      <c r="O357" s="188"/>
      <c r="P357" s="85"/>
      <c r="Q357" s="86"/>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BA357" s="85"/>
      <c r="BB357" s="189"/>
      <c r="BC357" s="189"/>
      <c r="BD357" s="189"/>
      <c r="BE357" s="189"/>
      <c r="BF357" s="189"/>
      <c r="BG357" s="189"/>
      <c r="BH357" s="189"/>
      <c r="BI357" s="85"/>
      <c r="BJ357" s="189"/>
      <c r="BK357" s="85"/>
      <c r="BL357" s="85"/>
      <c r="BM357" s="85"/>
      <c r="BN357" s="85"/>
      <c r="BO357" s="85"/>
      <c r="BP357" s="85"/>
    </row>
    <row r="358" spans="8:68">
      <c r="H358" s="83"/>
      <c r="I358" s="83"/>
      <c r="J358" s="83"/>
      <c r="K358" s="83"/>
      <c r="L358" s="83"/>
      <c r="M358" s="84"/>
      <c r="N358" s="85"/>
      <c r="O358" s="188"/>
      <c r="P358" s="85"/>
      <c r="Q358" s="86"/>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BA358" s="85"/>
      <c r="BB358" s="189"/>
      <c r="BC358" s="189"/>
      <c r="BD358" s="189"/>
      <c r="BE358" s="189"/>
      <c r="BF358" s="189"/>
      <c r="BG358" s="189"/>
      <c r="BH358" s="189"/>
      <c r="BI358" s="85"/>
      <c r="BJ358" s="189"/>
      <c r="BK358" s="85"/>
      <c r="BL358" s="85"/>
      <c r="BM358" s="85"/>
      <c r="BN358" s="85"/>
      <c r="BO358" s="85"/>
      <c r="BP358" s="85"/>
    </row>
    <row r="359" spans="8:68">
      <c r="H359" s="83"/>
      <c r="I359" s="83"/>
      <c r="J359" s="83"/>
      <c r="K359" s="83"/>
      <c r="L359" s="83"/>
      <c r="M359" s="84"/>
      <c r="N359" s="85"/>
      <c r="O359" s="188"/>
      <c r="P359" s="85"/>
      <c r="Q359" s="86"/>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BA359" s="85"/>
      <c r="BB359" s="189"/>
      <c r="BC359" s="189"/>
      <c r="BD359" s="189"/>
      <c r="BE359" s="189"/>
      <c r="BF359" s="189"/>
      <c r="BG359" s="189"/>
      <c r="BH359" s="189"/>
      <c r="BI359" s="85"/>
      <c r="BJ359" s="189"/>
      <c r="BK359" s="85"/>
      <c r="BL359" s="85"/>
      <c r="BM359" s="85"/>
      <c r="BN359" s="85"/>
      <c r="BO359" s="85"/>
      <c r="BP359" s="85"/>
    </row>
    <row r="360" spans="8:68">
      <c r="H360" s="83"/>
      <c r="I360" s="83"/>
      <c r="J360" s="83"/>
      <c r="K360" s="83"/>
      <c r="L360" s="83"/>
      <c r="M360" s="84"/>
      <c r="N360" s="85"/>
      <c r="O360" s="188"/>
      <c r="P360" s="85"/>
      <c r="Q360" s="86"/>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BA360" s="85"/>
      <c r="BB360" s="189"/>
      <c r="BC360" s="189"/>
      <c r="BD360" s="189"/>
      <c r="BE360" s="189"/>
      <c r="BF360" s="189"/>
      <c r="BG360" s="189"/>
      <c r="BH360" s="189"/>
      <c r="BI360" s="85"/>
      <c r="BJ360" s="189"/>
      <c r="BK360" s="85"/>
      <c r="BL360" s="85"/>
      <c r="BM360" s="85"/>
      <c r="BN360" s="85"/>
      <c r="BO360" s="85"/>
      <c r="BP360" s="85"/>
    </row>
    <row r="361" spans="8:68">
      <c r="H361" s="83"/>
      <c r="I361" s="83"/>
      <c r="J361" s="83"/>
      <c r="K361" s="83"/>
      <c r="L361" s="83"/>
      <c r="M361" s="84"/>
      <c r="N361" s="85"/>
      <c r="O361" s="188"/>
      <c r="P361" s="85"/>
      <c r="Q361" s="86"/>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BA361" s="85"/>
      <c r="BB361" s="189"/>
      <c r="BC361" s="189"/>
      <c r="BD361" s="189"/>
      <c r="BE361" s="189"/>
      <c r="BF361" s="189"/>
      <c r="BG361" s="189"/>
      <c r="BH361" s="189"/>
      <c r="BI361" s="85"/>
      <c r="BJ361" s="189"/>
      <c r="BK361" s="85"/>
      <c r="BL361" s="85"/>
      <c r="BM361" s="85"/>
      <c r="BN361" s="85"/>
      <c r="BO361" s="85"/>
      <c r="BP361" s="85"/>
    </row>
    <row r="362" spans="8:68">
      <c r="H362" s="83"/>
      <c r="I362" s="83"/>
      <c r="J362" s="83"/>
      <c r="K362" s="83"/>
      <c r="L362" s="83"/>
      <c r="M362" s="84"/>
      <c r="N362" s="85"/>
      <c r="O362" s="188"/>
      <c r="P362" s="85"/>
      <c r="Q362" s="86"/>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BA362" s="85"/>
      <c r="BB362" s="189"/>
      <c r="BC362" s="189"/>
      <c r="BD362" s="189"/>
      <c r="BE362" s="189"/>
      <c r="BF362" s="189"/>
      <c r="BG362" s="189"/>
      <c r="BH362" s="189"/>
      <c r="BI362" s="85"/>
      <c r="BJ362" s="189"/>
      <c r="BK362" s="85"/>
      <c r="BL362" s="85"/>
      <c r="BM362" s="85"/>
      <c r="BN362" s="85"/>
      <c r="BO362" s="85"/>
      <c r="BP362" s="85"/>
    </row>
    <row r="363" spans="8:68">
      <c r="H363" s="83"/>
      <c r="I363" s="83"/>
      <c r="J363" s="83"/>
      <c r="K363" s="83"/>
      <c r="L363" s="83"/>
      <c r="M363" s="84"/>
      <c r="N363" s="85"/>
      <c r="O363" s="188"/>
      <c r="P363" s="85"/>
      <c r="Q363" s="86"/>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BA363" s="85"/>
      <c r="BB363" s="189"/>
      <c r="BC363" s="189"/>
      <c r="BD363" s="189"/>
      <c r="BE363" s="189"/>
      <c r="BF363" s="189"/>
      <c r="BG363" s="189"/>
      <c r="BH363" s="189"/>
      <c r="BI363" s="85"/>
      <c r="BJ363" s="189"/>
      <c r="BK363" s="85"/>
      <c r="BL363" s="85"/>
      <c r="BM363" s="85"/>
      <c r="BN363" s="85"/>
      <c r="BO363" s="85"/>
      <c r="BP363" s="85"/>
    </row>
    <row r="364" spans="8:68">
      <c r="H364" s="83"/>
      <c r="I364" s="83"/>
      <c r="J364" s="83"/>
      <c r="K364" s="83"/>
      <c r="L364" s="83"/>
      <c r="M364" s="84"/>
      <c r="N364" s="85"/>
      <c r="O364" s="188"/>
      <c r="P364" s="85"/>
      <c r="Q364" s="86"/>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BA364" s="85"/>
      <c r="BB364" s="189"/>
      <c r="BC364" s="189"/>
      <c r="BD364" s="189"/>
      <c r="BE364" s="189"/>
      <c r="BF364" s="189"/>
      <c r="BG364" s="189"/>
      <c r="BH364" s="189"/>
      <c r="BI364" s="85"/>
      <c r="BJ364" s="189"/>
      <c r="BK364" s="85"/>
      <c r="BL364" s="85"/>
      <c r="BM364" s="85"/>
      <c r="BN364" s="85"/>
      <c r="BO364" s="85"/>
      <c r="BP364" s="85"/>
    </row>
    <row r="365" spans="8:68">
      <c r="H365" s="83"/>
      <c r="I365" s="83"/>
      <c r="J365" s="83"/>
      <c r="K365" s="83"/>
      <c r="L365" s="83"/>
      <c r="M365" s="84"/>
      <c r="N365" s="85"/>
      <c r="O365" s="188"/>
      <c r="P365" s="85"/>
      <c r="Q365" s="86"/>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BA365" s="85"/>
      <c r="BB365" s="189"/>
      <c r="BC365" s="189"/>
      <c r="BD365" s="189"/>
      <c r="BE365" s="189"/>
      <c r="BF365" s="189"/>
      <c r="BG365" s="189"/>
      <c r="BH365" s="189"/>
      <c r="BI365" s="85"/>
      <c r="BJ365" s="189"/>
      <c r="BK365" s="85"/>
      <c r="BL365" s="85"/>
      <c r="BM365" s="85"/>
      <c r="BN365" s="85"/>
      <c r="BO365" s="85"/>
      <c r="BP365" s="85"/>
    </row>
    <row r="366" spans="8:68">
      <c r="H366" s="83"/>
      <c r="I366" s="83"/>
      <c r="J366" s="83"/>
      <c r="K366" s="83"/>
      <c r="L366" s="83"/>
      <c r="M366" s="84"/>
      <c r="N366" s="85"/>
      <c r="O366" s="188"/>
      <c r="P366" s="85"/>
      <c r="Q366" s="86"/>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BA366" s="85"/>
      <c r="BB366" s="189"/>
      <c r="BC366" s="189"/>
      <c r="BD366" s="189"/>
      <c r="BE366" s="189"/>
      <c r="BF366" s="189"/>
      <c r="BG366" s="189"/>
      <c r="BH366" s="189"/>
      <c r="BI366" s="85"/>
      <c r="BJ366" s="189"/>
      <c r="BK366" s="85"/>
      <c r="BL366" s="85"/>
      <c r="BM366" s="85"/>
      <c r="BN366" s="85"/>
      <c r="BO366" s="85"/>
      <c r="BP366" s="85"/>
    </row>
    <row r="367" spans="8:68">
      <c r="H367" s="83"/>
      <c r="I367" s="83"/>
      <c r="J367" s="83"/>
      <c r="K367" s="83"/>
      <c r="L367" s="83"/>
      <c r="M367" s="84"/>
      <c r="N367" s="85"/>
      <c r="O367" s="188"/>
      <c r="P367" s="85"/>
      <c r="Q367" s="86"/>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BA367" s="85"/>
      <c r="BB367" s="189"/>
      <c r="BC367" s="189"/>
      <c r="BD367" s="189"/>
      <c r="BE367" s="189"/>
      <c r="BF367" s="189"/>
      <c r="BG367" s="189"/>
      <c r="BH367" s="189"/>
      <c r="BI367" s="85"/>
      <c r="BJ367" s="189"/>
      <c r="BK367" s="85"/>
      <c r="BL367" s="85"/>
      <c r="BM367" s="85"/>
      <c r="BN367" s="85"/>
      <c r="BO367" s="85"/>
      <c r="BP367" s="85"/>
    </row>
    <row r="368" spans="8:68">
      <c r="H368" s="83"/>
      <c r="I368" s="83"/>
      <c r="J368" s="83"/>
      <c r="K368" s="83"/>
      <c r="L368" s="83"/>
      <c r="M368" s="84"/>
      <c r="N368" s="85"/>
      <c r="O368" s="188"/>
      <c r="P368" s="85"/>
      <c r="Q368" s="86"/>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BA368" s="85"/>
      <c r="BB368" s="189"/>
      <c r="BC368" s="189"/>
      <c r="BD368" s="189"/>
      <c r="BE368" s="189"/>
      <c r="BF368" s="189"/>
      <c r="BG368" s="189"/>
      <c r="BH368" s="189"/>
      <c r="BI368" s="85"/>
      <c r="BJ368" s="189"/>
      <c r="BK368" s="85"/>
      <c r="BL368" s="85"/>
      <c r="BM368" s="85"/>
      <c r="BN368" s="85"/>
      <c r="BO368" s="85"/>
      <c r="BP368" s="85"/>
    </row>
    <row r="369" spans="8:68">
      <c r="H369" s="83"/>
      <c r="I369" s="83"/>
      <c r="J369" s="83"/>
      <c r="K369" s="83"/>
      <c r="L369" s="83"/>
      <c r="M369" s="84"/>
      <c r="N369" s="85"/>
      <c r="O369" s="188"/>
      <c r="P369" s="85"/>
      <c r="Q369" s="86"/>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BA369" s="85"/>
      <c r="BB369" s="189"/>
      <c r="BC369" s="189"/>
      <c r="BD369" s="189"/>
      <c r="BE369" s="189"/>
      <c r="BF369" s="189"/>
      <c r="BG369" s="189"/>
      <c r="BH369" s="189"/>
      <c r="BI369" s="85"/>
      <c r="BJ369" s="189"/>
      <c r="BK369" s="85"/>
      <c r="BL369" s="85"/>
      <c r="BM369" s="85"/>
      <c r="BN369" s="85"/>
      <c r="BO369" s="85"/>
      <c r="BP369" s="85"/>
    </row>
    <row r="370" spans="8:68">
      <c r="H370" s="83"/>
      <c r="I370" s="83"/>
      <c r="J370" s="83"/>
      <c r="K370" s="83"/>
      <c r="L370" s="83"/>
      <c r="M370" s="84"/>
      <c r="N370" s="85"/>
      <c r="O370" s="188"/>
      <c r="P370" s="85"/>
      <c r="Q370" s="86"/>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BA370" s="85"/>
      <c r="BB370" s="189"/>
      <c r="BC370" s="189"/>
      <c r="BD370" s="189"/>
      <c r="BE370" s="189"/>
      <c r="BF370" s="189"/>
      <c r="BG370" s="189"/>
      <c r="BH370" s="189"/>
      <c r="BI370" s="85"/>
      <c r="BJ370" s="189"/>
      <c r="BK370" s="85"/>
      <c r="BL370" s="85"/>
      <c r="BM370" s="85"/>
      <c r="BN370" s="85"/>
      <c r="BO370" s="85"/>
      <c r="BP370" s="85"/>
    </row>
    <row r="371" spans="8:68">
      <c r="H371" s="83"/>
      <c r="I371" s="83"/>
      <c r="J371" s="83"/>
      <c r="K371" s="83"/>
      <c r="L371" s="83"/>
      <c r="M371" s="84"/>
      <c r="N371" s="85"/>
      <c r="O371" s="188"/>
      <c r="P371" s="85"/>
      <c r="Q371" s="86"/>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BA371" s="85"/>
      <c r="BB371" s="189"/>
      <c r="BC371" s="189"/>
      <c r="BD371" s="189"/>
      <c r="BE371" s="189"/>
      <c r="BF371" s="189"/>
      <c r="BG371" s="189"/>
      <c r="BH371" s="189"/>
      <c r="BI371" s="85"/>
      <c r="BJ371" s="189"/>
      <c r="BK371" s="85"/>
      <c r="BL371" s="85"/>
      <c r="BM371" s="85"/>
      <c r="BN371" s="85"/>
      <c r="BO371" s="85"/>
      <c r="BP371" s="85"/>
    </row>
    <row r="372" spans="8:68">
      <c r="H372" s="83"/>
      <c r="I372" s="83"/>
      <c r="J372" s="83"/>
      <c r="K372" s="83"/>
      <c r="L372" s="83"/>
      <c r="M372" s="84"/>
      <c r="N372" s="85"/>
      <c r="O372" s="188"/>
      <c r="P372" s="85"/>
      <c r="Q372" s="86"/>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BA372" s="85"/>
      <c r="BB372" s="189"/>
      <c r="BC372" s="189"/>
      <c r="BD372" s="189"/>
      <c r="BE372" s="189"/>
      <c r="BF372" s="189"/>
      <c r="BG372" s="189"/>
      <c r="BH372" s="189"/>
      <c r="BI372" s="85"/>
      <c r="BJ372" s="189"/>
      <c r="BK372" s="85"/>
      <c r="BL372" s="85"/>
      <c r="BM372" s="85"/>
      <c r="BN372" s="85"/>
      <c r="BO372" s="85"/>
      <c r="BP372" s="85"/>
    </row>
    <row r="373" spans="8:68">
      <c r="H373" s="83"/>
      <c r="I373" s="83"/>
      <c r="J373" s="83"/>
      <c r="K373" s="83"/>
      <c r="L373" s="83"/>
      <c r="M373" s="84"/>
      <c r="N373" s="85"/>
      <c r="O373" s="188"/>
      <c r="P373" s="85"/>
      <c r="Q373" s="86"/>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BA373" s="85"/>
      <c r="BB373" s="189"/>
      <c r="BC373" s="189"/>
      <c r="BD373" s="189"/>
      <c r="BE373" s="189"/>
      <c r="BF373" s="189"/>
      <c r="BG373" s="189"/>
      <c r="BH373" s="189"/>
      <c r="BI373" s="85"/>
      <c r="BJ373" s="189"/>
      <c r="BK373" s="85"/>
      <c r="BL373" s="85"/>
      <c r="BM373" s="85"/>
      <c r="BN373" s="85"/>
      <c r="BO373" s="85"/>
      <c r="BP373" s="85"/>
    </row>
    <row r="374" spans="8:68">
      <c r="H374" s="83"/>
      <c r="I374" s="83"/>
      <c r="J374" s="83"/>
      <c r="K374" s="83"/>
      <c r="L374" s="83"/>
      <c r="M374" s="84"/>
      <c r="N374" s="85"/>
      <c r="O374" s="188"/>
      <c r="P374" s="85"/>
      <c r="Q374" s="86"/>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BA374" s="85"/>
      <c r="BB374" s="189"/>
      <c r="BC374" s="189"/>
      <c r="BD374" s="189"/>
      <c r="BE374" s="189"/>
      <c r="BF374" s="189"/>
      <c r="BG374" s="189"/>
      <c r="BH374" s="189"/>
      <c r="BI374" s="85"/>
      <c r="BJ374" s="189"/>
      <c r="BK374" s="85"/>
      <c r="BL374" s="85"/>
      <c r="BM374" s="85"/>
      <c r="BN374" s="85"/>
      <c r="BO374" s="85"/>
      <c r="BP374" s="85"/>
    </row>
    <row r="375" spans="8:68">
      <c r="H375" s="83"/>
      <c r="I375" s="83"/>
      <c r="J375" s="83"/>
      <c r="K375" s="83"/>
      <c r="L375" s="83"/>
      <c r="M375" s="84"/>
      <c r="N375" s="85"/>
      <c r="O375" s="188"/>
      <c r="P375" s="85"/>
      <c r="Q375" s="86"/>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BA375" s="85"/>
      <c r="BB375" s="189"/>
      <c r="BC375" s="189"/>
      <c r="BD375" s="189"/>
      <c r="BE375" s="189"/>
      <c r="BF375" s="189"/>
      <c r="BG375" s="189"/>
      <c r="BH375" s="189"/>
      <c r="BI375" s="85"/>
      <c r="BJ375" s="189"/>
      <c r="BK375" s="85"/>
      <c r="BL375" s="85"/>
      <c r="BM375" s="85"/>
      <c r="BN375" s="85"/>
      <c r="BO375" s="85"/>
      <c r="BP375" s="85"/>
    </row>
    <row r="376" spans="8:68">
      <c r="H376" s="83"/>
      <c r="I376" s="83"/>
      <c r="J376" s="83"/>
      <c r="K376" s="83"/>
      <c r="L376" s="83"/>
      <c r="M376" s="84"/>
      <c r="N376" s="85"/>
      <c r="O376" s="188"/>
      <c r="P376" s="85"/>
      <c r="Q376" s="86"/>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BA376" s="85"/>
      <c r="BB376" s="189"/>
      <c r="BC376" s="189"/>
      <c r="BD376" s="189"/>
      <c r="BE376" s="189"/>
      <c r="BF376" s="189"/>
      <c r="BG376" s="189"/>
      <c r="BH376" s="189"/>
      <c r="BI376" s="85"/>
      <c r="BJ376" s="189"/>
      <c r="BK376" s="85"/>
      <c r="BL376" s="85"/>
      <c r="BM376" s="85"/>
      <c r="BN376" s="85"/>
      <c r="BO376" s="85"/>
      <c r="BP376" s="85"/>
    </row>
    <row r="377" spans="8:68">
      <c r="H377" s="83"/>
      <c r="I377" s="83"/>
      <c r="J377" s="83"/>
      <c r="K377" s="83"/>
      <c r="L377" s="83"/>
      <c r="M377" s="84"/>
      <c r="N377" s="85"/>
      <c r="O377" s="188"/>
      <c r="P377" s="85"/>
      <c r="Q377" s="86"/>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BA377" s="85"/>
      <c r="BB377" s="189"/>
      <c r="BC377" s="189"/>
      <c r="BD377" s="189"/>
      <c r="BE377" s="189"/>
      <c r="BF377" s="189"/>
      <c r="BG377" s="189"/>
      <c r="BH377" s="189"/>
      <c r="BI377" s="85"/>
      <c r="BJ377" s="189"/>
      <c r="BK377" s="85"/>
      <c r="BL377" s="85"/>
      <c r="BM377" s="85"/>
      <c r="BN377" s="85"/>
      <c r="BO377" s="85"/>
      <c r="BP377" s="85"/>
    </row>
    <row r="378" spans="8:68">
      <c r="H378" s="83"/>
      <c r="I378" s="83"/>
      <c r="J378" s="83"/>
      <c r="K378" s="83"/>
      <c r="L378" s="83"/>
      <c r="M378" s="84"/>
      <c r="N378" s="85"/>
      <c r="O378" s="188"/>
      <c r="P378" s="85"/>
      <c r="Q378" s="86"/>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BA378" s="85"/>
      <c r="BB378" s="189"/>
      <c r="BC378" s="189"/>
      <c r="BD378" s="189"/>
      <c r="BE378" s="189"/>
      <c r="BF378" s="189"/>
      <c r="BG378" s="189"/>
      <c r="BH378" s="189"/>
      <c r="BI378" s="85"/>
      <c r="BJ378" s="189"/>
      <c r="BK378" s="85"/>
      <c r="BL378" s="85"/>
      <c r="BM378" s="85"/>
      <c r="BN378" s="85"/>
      <c r="BO378" s="85"/>
      <c r="BP378" s="85"/>
    </row>
    <row r="379" spans="8:68">
      <c r="H379" s="83"/>
      <c r="I379" s="83"/>
      <c r="J379" s="83"/>
      <c r="K379" s="83"/>
      <c r="L379" s="83"/>
      <c r="M379" s="84"/>
      <c r="N379" s="85"/>
      <c r="O379" s="188"/>
      <c r="P379" s="85"/>
      <c r="Q379" s="86"/>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BA379" s="85"/>
      <c r="BB379" s="189"/>
      <c r="BC379" s="189"/>
      <c r="BD379" s="189"/>
      <c r="BE379" s="189"/>
      <c r="BF379" s="189"/>
      <c r="BG379" s="189"/>
      <c r="BH379" s="189"/>
      <c r="BI379" s="85"/>
      <c r="BJ379" s="189"/>
      <c r="BK379" s="85"/>
      <c r="BL379" s="85"/>
      <c r="BM379" s="85"/>
      <c r="BN379" s="85"/>
      <c r="BO379" s="85"/>
      <c r="BP379" s="85"/>
    </row>
    <row r="380" spans="8:68">
      <c r="H380" s="83"/>
      <c r="I380" s="83"/>
      <c r="J380" s="83"/>
      <c r="K380" s="83"/>
      <c r="L380" s="83"/>
      <c r="M380" s="84"/>
      <c r="N380" s="85"/>
      <c r="O380" s="188"/>
      <c r="P380" s="85"/>
      <c r="Q380" s="86"/>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BA380" s="85"/>
      <c r="BB380" s="189"/>
      <c r="BC380" s="189"/>
      <c r="BD380" s="189"/>
      <c r="BE380" s="189"/>
      <c r="BF380" s="189"/>
      <c r="BG380" s="189"/>
      <c r="BH380" s="189"/>
      <c r="BI380" s="85"/>
      <c r="BJ380" s="189"/>
      <c r="BK380" s="85"/>
      <c r="BL380" s="85"/>
      <c r="BM380" s="85"/>
      <c r="BN380" s="85"/>
      <c r="BO380" s="85"/>
      <c r="BP380" s="85"/>
    </row>
    <row r="381" spans="8:68">
      <c r="H381" s="83"/>
      <c r="I381" s="83"/>
      <c r="J381" s="83"/>
      <c r="K381" s="83"/>
      <c r="L381" s="83"/>
      <c r="M381" s="84"/>
      <c r="N381" s="85"/>
      <c r="O381" s="188"/>
      <c r="P381" s="85"/>
      <c r="Q381" s="86"/>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BA381" s="85"/>
      <c r="BB381" s="189"/>
      <c r="BC381" s="189"/>
      <c r="BD381" s="189"/>
      <c r="BE381" s="189"/>
      <c r="BF381" s="189"/>
      <c r="BG381" s="189"/>
      <c r="BH381" s="189"/>
      <c r="BI381" s="85"/>
      <c r="BJ381" s="189"/>
      <c r="BK381" s="85"/>
      <c r="BL381" s="85"/>
      <c r="BM381" s="85"/>
      <c r="BN381" s="85"/>
      <c r="BO381" s="85"/>
      <c r="BP381" s="85"/>
    </row>
    <row r="382" spans="8:68">
      <c r="H382" s="83"/>
      <c r="I382" s="83"/>
      <c r="J382" s="83"/>
      <c r="K382" s="83"/>
      <c r="L382" s="83"/>
      <c r="M382" s="84"/>
      <c r="N382" s="85"/>
      <c r="O382" s="188"/>
      <c r="P382" s="85"/>
      <c r="Q382" s="86"/>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BA382" s="85"/>
      <c r="BB382" s="189"/>
      <c r="BC382" s="189"/>
      <c r="BD382" s="189"/>
      <c r="BE382" s="189"/>
      <c r="BF382" s="189"/>
      <c r="BG382" s="189"/>
      <c r="BH382" s="189"/>
      <c r="BI382" s="85"/>
      <c r="BJ382" s="189"/>
      <c r="BK382" s="85"/>
      <c r="BL382" s="85"/>
      <c r="BM382" s="85"/>
      <c r="BN382" s="85"/>
      <c r="BO382" s="85"/>
      <c r="BP382" s="85"/>
    </row>
    <row r="383" spans="8:68">
      <c r="H383" s="83"/>
      <c r="I383" s="83"/>
      <c r="J383" s="83"/>
      <c r="K383" s="83"/>
      <c r="L383" s="83"/>
      <c r="M383" s="84"/>
      <c r="N383" s="85"/>
      <c r="O383" s="188"/>
      <c r="P383" s="85"/>
      <c r="Q383" s="86"/>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BA383" s="85"/>
      <c r="BB383" s="189"/>
      <c r="BC383" s="189"/>
      <c r="BD383" s="189"/>
      <c r="BE383" s="189"/>
      <c r="BF383" s="189"/>
      <c r="BG383" s="189"/>
      <c r="BH383" s="189"/>
      <c r="BI383" s="85"/>
      <c r="BJ383" s="189"/>
      <c r="BK383" s="85"/>
      <c r="BL383" s="85"/>
      <c r="BM383" s="85"/>
      <c r="BN383" s="85"/>
      <c r="BO383" s="85"/>
      <c r="BP383" s="85"/>
    </row>
    <row r="384" spans="8:68">
      <c r="H384" s="83"/>
      <c r="I384" s="83"/>
      <c r="J384" s="83"/>
      <c r="K384" s="83"/>
      <c r="L384" s="83"/>
      <c r="M384" s="84"/>
      <c r="N384" s="85"/>
      <c r="O384" s="188"/>
      <c r="P384" s="85"/>
      <c r="Q384" s="86"/>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BA384" s="85"/>
      <c r="BB384" s="189"/>
      <c r="BC384" s="189"/>
      <c r="BD384" s="189"/>
      <c r="BE384" s="189"/>
      <c r="BF384" s="189"/>
      <c r="BG384" s="189"/>
      <c r="BH384" s="189"/>
      <c r="BI384" s="85"/>
      <c r="BJ384" s="189"/>
      <c r="BK384" s="85"/>
      <c r="BL384" s="85"/>
      <c r="BM384" s="85"/>
      <c r="BN384" s="85"/>
      <c r="BO384" s="85"/>
      <c r="BP384" s="85"/>
    </row>
    <row r="385" spans="8:68">
      <c r="H385" s="83"/>
      <c r="I385" s="83"/>
      <c r="J385" s="83"/>
      <c r="K385" s="83"/>
      <c r="L385" s="83"/>
      <c r="M385" s="84"/>
      <c r="N385" s="85"/>
      <c r="O385" s="188"/>
      <c r="P385" s="85"/>
      <c r="Q385" s="86"/>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BA385" s="85"/>
      <c r="BB385" s="189"/>
      <c r="BC385" s="189"/>
      <c r="BD385" s="189"/>
      <c r="BE385" s="189"/>
      <c r="BF385" s="189"/>
      <c r="BG385" s="189"/>
      <c r="BH385" s="189"/>
      <c r="BI385" s="85"/>
      <c r="BJ385" s="189"/>
      <c r="BK385" s="85"/>
      <c r="BL385" s="85"/>
      <c r="BM385" s="85"/>
      <c r="BN385" s="85"/>
      <c r="BO385" s="85"/>
      <c r="BP385" s="85"/>
    </row>
    <row r="386" spans="8:68">
      <c r="H386" s="83"/>
      <c r="I386" s="83"/>
      <c r="J386" s="83"/>
      <c r="K386" s="83"/>
      <c r="L386" s="83"/>
      <c r="M386" s="84"/>
      <c r="N386" s="85"/>
      <c r="O386" s="188"/>
      <c r="P386" s="85"/>
      <c r="Q386" s="86"/>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BA386" s="85"/>
      <c r="BB386" s="189"/>
      <c r="BC386" s="189"/>
      <c r="BD386" s="189"/>
      <c r="BE386" s="189"/>
      <c r="BF386" s="189"/>
      <c r="BG386" s="189"/>
      <c r="BH386" s="189"/>
      <c r="BI386" s="85"/>
      <c r="BJ386" s="189"/>
      <c r="BK386" s="85"/>
      <c r="BL386" s="85"/>
      <c r="BM386" s="85"/>
      <c r="BN386" s="85"/>
      <c r="BO386" s="85"/>
      <c r="BP386" s="85"/>
    </row>
    <row r="387" spans="8:68">
      <c r="H387" s="83"/>
      <c r="I387" s="83"/>
      <c r="J387" s="83"/>
      <c r="K387" s="83"/>
      <c r="L387" s="83"/>
      <c r="M387" s="84"/>
      <c r="N387" s="85"/>
      <c r="O387" s="188"/>
      <c r="P387" s="85"/>
      <c r="Q387" s="86"/>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BA387" s="85"/>
      <c r="BB387" s="189"/>
      <c r="BC387" s="189"/>
      <c r="BD387" s="189"/>
      <c r="BE387" s="189"/>
      <c r="BF387" s="189"/>
      <c r="BG387" s="189"/>
      <c r="BH387" s="189"/>
      <c r="BI387" s="85"/>
      <c r="BJ387" s="189"/>
      <c r="BK387" s="85"/>
      <c r="BL387" s="85"/>
      <c r="BM387" s="85"/>
      <c r="BN387" s="85"/>
      <c r="BO387" s="85"/>
      <c r="BP387" s="85"/>
    </row>
    <row r="388" spans="8:68">
      <c r="H388" s="83"/>
      <c r="I388" s="83"/>
      <c r="J388" s="83"/>
      <c r="K388" s="83"/>
      <c r="L388" s="83"/>
      <c r="M388" s="84"/>
      <c r="N388" s="85"/>
      <c r="O388" s="188"/>
      <c r="P388" s="85"/>
      <c r="Q388" s="86"/>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BA388" s="85"/>
      <c r="BB388" s="189"/>
      <c r="BC388" s="189"/>
      <c r="BD388" s="189"/>
      <c r="BE388" s="189"/>
      <c r="BF388" s="189"/>
      <c r="BG388" s="189"/>
      <c r="BH388" s="189"/>
      <c r="BI388" s="85"/>
      <c r="BJ388" s="189"/>
      <c r="BK388" s="85"/>
      <c r="BL388" s="85"/>
      <c r="BM388" s="85"/>
      <c r="BN388" s="85"/>
      <c r="BO388" s="85"/>
      <c r="BP388" s="85"/>
    </row>
    <row r="389" spans="8:68">
      <c r="H389" s="83"/>
      <c r="I389" s="83"/>
      <c r="J389" s="83"/>
      <c r="K389" s="83"/>
      <c r="L389" s="83"/>
      <c r="M389" s="84"/>
      <c r="N389" s="85"/>
      <c r="O389" s="188"/>
      <c r="P389" s="85"/>
      <c r="Q389" s="86"/>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BA389" s="85"/>
      <c r="BB389" s="189"/>
      <c r="BC389" s="189"/>
      <c r="BD389" s="189"/>
      <c r="BE389" s="189"/>
      <c r="BF389" s="189"/>
      <c r="BG389" s="189"/>
      <c r="BH389" s="189"/>
      <c r="BI389" s="85"/>
      <c r="BJ389" s="189"/>
      <c r="BK389" s="85"/>
      <c r="BL389" s="85"/>
      <c r="BM389" s="85"/>
      <c r="BN389" s="85"/>
      <c r="BO389" s="85"/>
      <c r="BP389" s="85"/>
    </row>
    <row r="390" spans="8:68">
      <c r="H390" s="83"/>
      <c r="I390" s="83"/>
      <c r="J390" s="83"/>
      <c r="K390" s="83"/>
      <c r="L390" s="83"/>
      <c r="M390" s="84"/>
      <c r="N390" s="85"/>
      <c r="O390" s="188"/>
      <c r="P390" s="85"/>
      <c r="Q390" s="86"/>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BA390" s="85"/>
      <c r="BB390" s="189"/>
      <c r="BC390" s="189"/>
      <c r="BD390" s="189"/>
      <c r="BE390" s="189"/>
      <c r="BF390" s="189"/>
      <c r="BG390" s="189"/>
      <c r="BH390" s="189"/>
      <c r="BI390" s="85"/>
      <c r="BJ390" s="189"/>
      <c r="BK390" s="85"/>
      <c r="BL390" s="85"/>
      <c r="BM390" s="85"/>
      <c r="BN390" s="85"/>
      <c r="BO390" s="85"/>
      <c r="BP390" s="85"/>
    </row>
    <row r="391" spans="8:68">
      <c r="H391" s="83"/>
      <c r="I391" s="83"/>
      <c r="J391" s="83"/>
      <c r="K391" s="83"/>
      <c r="L391" s="83"/>
      <c r="M391" s="84"/>
      <c r="N391" s="85"/>
      <c r="O391" s="188"/>
      <c r="P391" s="85"/>
      <c r="Q391" s="86"/>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BA391" s="85"/>
      <c r="BB391" s="189"/>
      <c r="BC391" s="189"/>
      <c r="BD391" s="189"/>
      <c r="BE391" s="189"/>
      <c r="BF391" s="189"/>
      <c r="BG391" s="189"/>
      <c r="BH391" s="189"/>
      <c r="BI391" s="85"/>
      <c r="BJ391" s="189"/>
      <c r="BK391" s="85"/>
      <c r="BL391" s="85"/>
      <c r="BM391" s="85"/>
      <c r="BN391" s="85"/>
      <c r="BO391" s="85"/>
      <c r="BP391" s="85"/>
    </row>
    <row r="392" spans="8:68">
      <c r="H392" s="83"/>
      <c r="I392" s="83"/>
      <c r="J392" s="83"/>
      <c r="K392" s="83"/>
      <c r="L392" s="83"/>
      <c r="M392" s="84"/>
      <c r="N392" s="85"/>
      <c r="O392" s="188"/>
      <c r="P392" s="85"/>
      <c r="Q392" s="86"/>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BA392" s="85"/>
      <c r="BB392" s="189"/>
      <c r="BC392" s="189"/>
      <c r="BD392" s="189"/>
      <c r="BE392" s="189"/>
      <c r="BF392" s="189"/>
      <c r="BG392" s="189"/>
      <c r="BH392" s="189"/>
      <c r="BI392" s="85"/>
      <c r="BJ392" s="189"/>
      <c r="BK392" s="85"/>
      <c r="BL392" s="85"/>
      <c r="BM392" s="85"/>
      <c r="BN392" s="85"/>
      <c r="BO392" s="85"/>
      <c r="BP392" s="85"/>
    </row>
    <row r="393" spans="8:68">
      <c r="H393" s="83"/>
      <c r="I393" s="83"/>
      <c r="J393" s="83"/>
      <c r="K393" s="83"/>
      <c r="L393" s="83"/>
      <c r="M393" s="84"/>
      <c r="N393" s="85"/>
      <c r="O393" s="188"/>
      <c r="P393" s="85"/>
      <c r="Q393" s="86"/>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BA393" s="85"/>
      <c r="BB393" s="189"/>
      <c r="BC393" s="189"/>
      <c r="BD393" s="189"/>
      <c r="BE393" s="189"/>
      <c r="BF393" s="189"/>
      <c r="BG393" s="189"/>
      <c r="BH393" s="189"/>
      <c r="BI393" s="85"/>
      <c r="BJ393" s="189"/>
      <c r="BK393" s="85"/>
      <c r="BL393" s="85"/>
      <c r="BM393" s="85"/>
      <c r="BN393" s="85"/>
      <c r="BO393" s="85"/>
      <c r="BP393" s="85"/>
    </row>
    <row r="394" spans="8:68">
      <c r="H394" s="83"/>
      <c r="I394" s="83"/>
      <c r="J394" s="83"/>
      <c r="K394" s="83"/>
      <c r="L394" s="83"/>
      <c r="M394" s="84"/>
      <c r="N394" s="85"/>
      <c r="O394" s="188"/>
      <c r="P394" s="85"/>
      <c r="Q394" s="86"/>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BA394" s="85"/>
      <c r="BB394" s="189"/>
      <c r="BC394" s="189"/>
      <c r="BD394" s="189"/>
      <c r="BE394" s="189"/>
      <c r="BF394" s="189"/>
      <c r="BG394" s="189"/>
      <c r="BH394" s="189"/>
      <c r="BI394" s="85"/>
      <c r="BJ394" s="189"/>
      <c r="BK394" s="85"/>
      <c r="BL394" s="85"/>
      <c r="BM394" s="85"/>
      <c r="BN394" s="85"/>
      <c r="BO394" s="85"/>
      <c r="BP394" s="85"/>
    </row>
    <row r="395" spans="8:68">
      <c r="H395" s="83"/>
      <c r="I395" s="83"/>
      <c r="J395" s="83"/>
      <c r="K395" s="83"/>
      <c r="L395" s="83"/>
      <c r="M395" s="84"/>
      <c r="N395" s="85"/>
      <c r="O395" s="188"/>
      <c r="P395" s="85"/>
      <c r="Q395" s="86"/>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BA395" s="85"/>
      <c r="BB395" s="189"/>
      <c r="BC395" s="189"/>
      <c r="BD395" s="189"/>
      <c r="BE395" s="189"/>
      <c r="BF395" s="189"/>
      <c r="BG395" s="189"/>
      <c r="BH395" s="189"/>
      <c r="BI395" s="85"/>
      <c r="BJ395" s="189"/>
      <c r="BK395" s="85"/>
      <c r="BL395" s="85"/>
      <c r="BM395" s="85"/>
      <c r="BN395" s="85"/>
      <c r="BO395" s="85"/>
      <c r="BP395" s="85"/>
    </row>
    <row r="396" spans="8:68">
      <c r="H396" s="83"/>
      <c r="I396" s="83"/>
      <c r="J396" s="83"/>
      <c r="K396" s="83"/>
      <c r="L396" s="83"/>
      <c r="M396" s="84"/>
      <c r="N396" s="85"/>
      <c r="O396" s="188"/>
      <c r="P396" s="85"/>
      <c r="Q396" s="86"/>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BA396" s="85"/>
      <c r="BB396" s="189"/>
      <c r="BC396" s="189"/>
      <c r="BD396" s="189"/>
      <c r="BE396" s="189"/>
      <c r="BF396" s="189"/>
      <c r="BG396" s="189"/>
      <c r="BH396" s="189"/>
      <c r="BI396" s="85"/>
      <c r="BJ396" s="189"/>
      <c r="BK396" s="85"/>
      <c r="BL396" s="85"/>
      <c r="BM396" s="85"/>
      <c r="BN396" s="85"/>
      <c r="BO396" s="85"/>
      <c r="BP396" s="85"/>
    </row>
    <row r="397" spans="8:68">
      <c r="H397" s="83"/>
      <c r="I397" s="83"/>
      <c r="J397" s="83"/>
      <c r="K397" s="83"/>
      <c r="L397" s="83"/>
      <c r="M397" s="84"/>
      <c r="N397" s="85"/>
      <c r="O397" s="188"/>
      <c r="P397" s="85"/>
      <c r="Q397" s="86"/>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BA397" s="85"/>
      <c r="BB397" s="189"/>
      <c r="BC397" s="189"/>
      <c r="BD397" s="189"/>
      <c r="BE397" s="189"/>
      <c r="BF397" s="189"/>
      <c r="BG397" s="189"/>
      <c r="BH397" s="189"/>
      <c r="BI397" s="85"/>
      <c r="BJ397" s="189"/>
      <c r="BK397" s="85"/>
      <c r="BL397" s="85"/>
      <c r="BM397" s="85"/>
      <c r="BN397" s="85"/>
      <c r="BO397" s="85"/>
      <c r="BP397" s="85"/>
    </row>
    <row r="398" spans="8:68">
      <c r="H398" s="83"/>
      <c r="I398" s="83"/>
      <c r="J398" s="83"/>
      <c r="K398" s="83"/>
      <c r="L398" s="83"/>
      <c r="M398" s="84"/>
      <c r="N398" s="85"/>
      <c r="O398" s="188"/>
      <c r="P398" s="85"/>
      <c r="Q398" s="86"/>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BA398" s="85"/>
      <c r="BB398" s="189"/>
      <c r="BC398" s="189"/>
      <c r="BD398" s="189"/>
      <c r="BE398" s="189"/>
      <c r="BF398" s="189"/>
      <c r="BG398" s="189"/>
      <c r="BH398" s="189"/>
      <c r="BI398" s="85"/>
      <c r="BJ398" s="189"/>
      <c r="BK398" s="85"/>
      <c r="BL398" s="85"/>
      <c r="BM398" s="85"/>
      <c r="BN398" s="85"/>
      <c r="BO398" s="85"/>
      <c r="BP398" s="85"/>
    </row>
    <row r="399" spans="8:68">
      <c r="H399" s="83"/>
      <c r="I399" s="83"/>
      <c r="J399" s="83"/>
      <c r="K399" s="83"/>
      <c r="L399" s="83"/>
      <c r="M399" s="84"/>
      <c r="N399" s="85"/>
      <c r="O399" s="188"/>
      <c r="P399" s="85"/>
      <c r="Q399" s="86"/>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BA399" s="85"/>
      <c r="BB399" s="189"/>
      <c r="BC399" s="189"/>
      <c r="BD399" s="189"/>
      <c r="BE399" s="189"/>
      <c r="BF399" s="189"/>
      <c r="BG399" s="189"/>
      <c r="BH399" s="189"/>
      <c r="BI399" s="85"/>
      <c r="BJ399" s="189"/>
      <c r="BK399" s="85"/>
      <c r="BL399" s="85"/>
      <c r="BM399" s="85"/>
      <c r="BN399" s="85"/>
      <c r="BO399" s="85"/>
      <c r="BP399" s="85"/>
    </row>
    <row r="400" spans="8:68">
      <c r="H400" s="83"/>
      <c r="I400" s="83"/>
      <c r="J400" s="83"/>
      <c r="K400" s="83"/>
      <c r="L400" s="83"/>
      <c r="M400" s="84"/>
      <c r="N400" s="85"/>
      <c r="O400" s="188"/>
      <c r="P400" s="85"/>
      <c r="Q400" s="86"/>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BA400" s="85"/>
      <c r="BB400" s="189"/>
      <c r="BC400" s="189"/>
      <c r="BD400" s="189"/>
      <c r="BE400" s="189"/>
      <c r="BF400" s="189"/>
      <c r="BG400" s="189"/>
      <c r="BH400" s="189"/>
      <c r="BI400" s="85"/>
      <c r="BJ400" s="189"/>
      <c r="BK400" s="85"/>
      <c r="BL400" s="85"/>
      <c r="BM400" s="85"/>
      <c r="BN400" s="85"/>
      <c r="BO400" s="85"/>
      <c r="BP400" s="85"/>
    </row>
    <row r="401" spans="8:68">
      <c r="H401" s="83"/>
      <c r="I401" s="83"/>
      <c r="J401" s="83"/>
      <c r="K401" s="83"/>
      <c r="L401" s="83"/>
      <c r="M401" s="84"/>
      <c r="N401" s="85"/>
      <c r="O401" s="188"/>
      <c r="P401" s="85"/>
      <c r="Q401" s="86"/>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BA401" s="85"/>
      <c r="BB401" s="189"/>
      <c r="BC401" s="189"/>
      <c r="BD401" s="189"/>
      <c r="BE401" s="189"/>
      <c r="BF401" s="189"/>
      <c r="BG401" s="189"/>
      <c r="BH401" s="189"/>
      <c r="BI401" s="85"/>
      <c r="BJ401" s="189"/>
      <c r="BK401" s="85"/>
      <c r="BL401" s="85"/>
      <c r="BM401" s="85"/>
      <c r="BN401" s="85"/>
      <c r="BO401" s="85"/>
      <c r="BP401" s="85"/>
    </row>
    <row r="402" spans="8:68">
      <c r="H402" s="83"/>
      <c r="I402" s="83"/>
      <c r="J402" s="83"/>
      <c r="K402" s="83"/>
      <c r="L402" s="83"/>
      <c r="M402" s="84"/>
      <c r="N402" s="85"/>
      <c r="O402" s="188"/>
      <c r="P402" s="85"/>
      <c r="Q402" s="86"/>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BA402" s="85"/>
      <c r="BB402" s="189"/>
      <c r="BC402" s="189"/>
      <c r="BD402" s="189"/>
      <c r="BE402" s="189"/>
      <c r="BF402" s="189"/>
      <c r="BG402" s="189"/>
      <c r="BH402" s="189"/>
      <c r="BI402" s="85"/>
      <c r="BJ402" s="189"/>
      <c r="BK402" s="85"/>
      <c r="BL402" s="85"/>
      <c r="BM402" s="85"/>
      <c r="BN402" s="85"/>
      <c r="BO402" s="85"/>
      <c r="BP402" s="85"/>
    </row>
    <row r="403" spans="8:68">
      <c r="H403" s="83"/>
      <c r="I403" s="83"/>
      <c r="J403" s="83"/>
      <c r="K403" s="83"/>
      <c r="L403" s="83"/>
      <c r="M403" s="84"/>
      <c r="N403" s="85"/>
      <c r="O403" s="188"/>
      <c r="P403" s="85"/>
      <c r="Q403" s="86"/>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BA403" s="85"/>
      <c r="BB403" s="189"/>
      <c r="BC403" s="189"/>
      <c r="BD403" s="189"/>
      <c r="BE403" s="189"/>
      <c r="BF403" s="189"/>
      <c r="BG403" s="189"/>
      <c r="BH403" s="189"/>
      <c r="BI403" s="85"/>
      <c r="BJ403" s="189"/>
      <c r="BK403" s="85"/>
      <c r="BL403" s="85"/>
      <c r="BM403" s="85"/>
      <c r="BN403" s="85"/>
      <c r="BO403" s="85"/>
      <c r="BP403" s="85"/>
    </row>
    <row r="404" spans="8:68">
      <c r="H404" s="83"/>
      <c r="I404" s="83"/>
      <c r="J404" s="83"/>
      <c r="K404" s="83"/>
      <c r="L404" s="83"/>
      <c r="M404" s="84"/>
      <c r="N404" s="85"/>
      <c r="O404" s="188"/>
      <c r="P404" s="85"/>
      <c r="Q404" s="86"/>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BA404" s="85"/>
      <c r="BB404" s="189"/>
      <c r="BC404" s="189"/>
      <c r="BD404" s="189"/>
      <c r="BE404" s="189"/>
      <c r="BF404" s="189"/>
      <c r="BG404" s="189"/>
      <c r="BH404" s="189"/>
      <c r="BI404" s="85"/>
      <c r="BJ404" s="189"/>
      <c r="BK404" s="85"/>
      <c r="BL404" s="85"/>
      <c r="BM404" s="85"/>
      <c r="BN404" s="85"/>
      <c r="BO404" s="85"/>
      <c r="BP404" s="85"/>
    </row>
    <row r="405" spans="8:68">
      <c r="H405" s="83"/>
      <c r="I405" s="83"/>
      <c r="J405" s="83"/>
      <c r="K405" s="83"/>
      <c r="L405" s="83"/>
      <c r="M405" s="84"/>
      <c r="N405" s="85"/>
      <c r="O405" s="188"/>
      <c r="P405" s="85"/>
      <c r="Q405" s="86"/>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BA405" s="85"/>
      <c r="BB405" s="189"/>
      <c r="BC405" s="189"/>
      <c r="BD405" s="189"/>
      <c r="BE405" s="189"/>
      <c r="BF405" s="189"/>
      <c r="BG405" s="189"/>
      <c r="BH405" s="189"/>
      <c r="BI405" s="85"/>
      <c r="BJ405" s="189"/>
      <c r="BK405" s="85"/>
      <c r="BL405" s="85"/>
      <c r="BM405" s="85"/>
      <c r="BN405" s="85"/>
      <c r="BO405" s="85"/>
      <c r="BP405" s="85"/>
    </row>
    <row r="406" spans="8:68">
      <c r="H406" s="83"/>
      <c r="I406" s="83"/>
      <c r="J406" s="83"/>
      <c r="K406" s="83"/>
      <c r="L406" s="83"/>
      <c r="M406" s="84"/>
      <c r="N406" s="85"/>
      <c r="O406" s="188"/>
      <c r="P406" s="85"/>
      <c r="Q406" s="86"/>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BA406" s="85"/>
      <c r="BB406" s="189"/>
      <c r="BC406" s="189"/>
      <c r="BD406" s="189"/>
      <c r="BE406" s="189"/>
      <c r="BF406" s="189"/>
      <c r="BG406" s="189"/>
      <c r="BH406" s="189"/>
      <c r="BI406" s="85"/>
      <c r="BJ406" s="189"/>
      <c r="BK406" s="85"/>
      <c r="BL406" s="85"/>
      <c r="BM406" s="85"/>
      <c r="BN406" s="85"/>
      <c r="BO406" s="85"/>
      <c r="BP406" s="85"/>
    </row>
    <row r="407" spans="8:68">
      <c r="H407" s="83"/>
      <c r="I407" s="83"/>
      <c r="J407" s="83"/>
      <c r="K407" s="83"/>
      <c r="L407" s="83"/>
      <c r="M407" s="84"/>
      <c r="N407" s="85"/>
      <c r="O407" s="188"/>
      <c r="P407" s="85"/>
      <c r="Q407" s="86"/>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BA407" s="85"/>
      <c r="BB407" s="189"/>
      <c r="BC407" s="189"/>
      <c r="BD407" s="189"/>
      <c r="BE407" s="189"/>
      <c r="BF407" s="189"/>
      <c r="BG407" s="189"/>
      <c r="BH407" s="189"/>
      <c r="BI407" s="85"/>
      <c r="BJ407" s="189"/>
      <c r="BK407" s="85"/>
      <c r="BL407" s="85"/>
      <c r="BM407" s="85"/>
      <c r="BN407" s="85"/>
      <c r="BO407" s="85"/>
      <c r="BP407" s="85"/>
    </row>
    <row r="408" spans="8:68">
      <c r="H408" s="83"/>
      <c r="I408" s="83"/>
      <c r="J408" s="83"/>
      <c r="K408" s="83"/>
      <c r="L408" s="83"/>
      <c r="M408" s="84"/>
      <c r="N408" s="85"/>
      <c r="O408" s="188"/>
      <c r="P408" s="85"/>
      <c r="Q408" s="86"/>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BA408" s="85"/>
      <c r="BB408" s="189"/>
      <c r="BC408" s="189"/>
      <c r="BD408" s="189"/>
      <c r="BE408" s="189"/>
      <c r="BF408" s="189"/>
      <c r="BG408" s="189"/>
      <c r="BH408" s="189"/>
      <c r="BI408" s="85"/>
      <c r="BJ408" s="189"/>
      <c r="BK408" s="85"/>
      <c r="BL408" s="85"/>
      <c r="BM408" s="85"/>
      <c r="BN408" s="85"/>
      <c r="BO408" s="85"/>
      <c r="BP408" s="85"/>
    </row>
    <row r="409" spans="8:68">
      <c r="H409" s="83"/>
      <c r="I409" s="83"/>
      <c r="J409" s="83"/>
      <c r="K409" s="83"/>
      <c r="L409" s="83"/>
      <c r="M409" s="84"/>
      <c r="N409" s="85"/>
      <c r="O409" s="188"/>
      <c r="P409" s="85"/>
      <c r="Q409" s="86"/>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BA409" s="85"/>
      <c r="BB409" s="189"/>
      <c r="BC409" s="189"/>
      <c r="BD409" s="189"/>
      <c r="BE409" s="189"/>
      <c r="BF409" s="189"/>
      <c r="BG409" s="189"/>
      <c r="BH409" s="189"/>
      <c r="BI409" s="85"/>
      <c r="BJ409" s="189"/>
      <c r="BK409" s="85"/>
      <c r="BL409" s="85"/>
      <c r="BM409" s="85"/>
      <c r="BN409" s="85"/>
      <c r="BO409" s="85"/>
      <c r="BP409" s="85"/>
    </row>
    <row r="410" spans="8:68">
      <c r="H410" s="83"/>
      <c r="I410" s="83"/>
      <c r="J410" s="83"/>
      <c r="K410" s="83"/>
      <c r="L410" s="83"/>
      <c r="M410" s="84"/>
      <c r="N410" s="85"/>
      <c r="O410" s="188"/>
      <c r="P410" s="85"/>
      <c r="Q410" s="86"/>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BA410" s="85"/>
      <c r="BB410" s="189"/>
      <c r="BC410" s="189"/>
      <c r="BD410" s="189"/>
      <c r="BE410" s="189"/>
      <c r="BF410" s="189"/>
      <c r="BG410" s="189"/>
      <c r="BH410" s="189"/>
      <c r="BI410" s="85"/>
      <c r="BJ410" s="189"/>
      <c r="BK410" s="85"/>
      <c r="BL410" s="85"/>
      <c r="BM410" s="85"/>
      <c r="BN410" s="85"/>
      <c r="BO410" s="85"/>
      <c r="BP410" s="85"/>
    </row>
    <row r="411" spans="8:68">
      <c r="BF411" s="189"/>
      <c r="BG411" s="189"/>
      <c r="BH411" s="189"/>
      <c r="BI411" s="85"/>
      <c r="BJ411" s="189"/>
      <c r="BK411" s="85"/>
      <c r="BL411" s="85"/>
      <c r="BM411" s="85"/>
      <c r="BN411" s="85"/>
      <c r="BO411" s="85"/>
      <c r="BP411" s="85"/>
    </row>
    <row r="412" spans="8:68">
      <c r="BF412" s="189"/>
      <c r="BG412" s="189"/>
      <c r="BH412" s="189"/>
      <c r="BI412" s="85"/>
      <c r="BJ412" s="189"/>
      <c r="BK412" s="85"/>
      <c r="BL412" s="85"/>
      <c r="BM412" s="85"/>
      <c r="BN412" s="85"/>
      <c r="BO412" s="85"/>
      <c r="BP412" s="85"/>
    </row>
    <row r="413" spans="8:68">
      <c r="BF413" s="189"/>
      <c r="BG413" s="189"/>
      <c r="BH413" s="189"/>
      <c r="BI413" s="85"/>
      <c r="BJ413" s="189"/>
      <c r="BK413" s="85"/>
      <c r="BL413" s="85"/>
      <c r="BM413" s="85"/>
      <c r="BN413" s="85"/>
      <c r="BO413" s="85"/>
      <c r="BP413" s="85"/>
    </row>
    <row r="414" spans="8:68">
      <c r="BF414" s="189"/>
      <c r="BG414" s="189"/>
      <c r="BH414" s="189"/>
      <c r="BI414" s="85"/>
      <c r="BJ414" s="189"/>
      <c r="BK414" s="85"/>
      <c r="BL414" s="85"/>
      <c r="BM414" s="85"/>
      <c r="BN414" s="85"/>
      <c r="BO414" s="85"/>
      <c r="BP414" s="85"/>
    </row>
  </sheetData>
  <sheetProtection selectLockedCells="1"/>
  <mergeCells count="3680">
    <mergeCell ref="A10:B10"/>
    <mergeCell ref="BS17:BT17"/>
    <mergeCell ref="BS19:BT19"/>
    <mergeCell ref="BT20:BU20"/>
    <mergeCell ref="BI22:BI23"/>
    <mergeCell ref="BL22:BL23"/>
    <mergeCell ref="BM22:BM23"/>
    <mergeCell ref="BN22:BN23"/>
    <mergeCell ref="BO22:BO23"/>
    <mergeCell ref="BP22:BP23"/>
    <mergeCell ref="J10:K10"/>
    <mergeCell ref="I10:I11"/>
    <mergeCell ref="O24:O27"/>
    <mergeCell ref="P24:P27"/>
    <mergeCell ref="Q24:Q27"/>
    <mergeCell ref="R24:T24"/>
    <mergeCell ref="U24:AH24"/>
    <mergeCell ref="AI24:AT24"/>
    <mergeCell ref="I24:I27"/>
    <mergeCell ref="J24:J27"/>
    <mergeCell ref="K24:K27"/>
    <mergeCell ref="L24:L27"/>
    <mergeCell ref="M24:M27"/>
    <mergeCell ref="N24:N27"/>
    <mergeCell ref="C24:C27"/>
    <mergeCell ref="D24:D27"/>
    <mergeCell ref="E24:E27"/>
    <mergeCell ref="F24:F27"/>
    <mergeCell ref="G24:G27"/>
    <mergeCell ref="H24:H27"/>
    <mergeCell ref="BL24:BL27"/>
    <mergeCell ref="BM24:BP25"/>
    <mergeCell ref="R25:R27"/>
    <mergeCell ref="S25:S27"/>
    <mergeCell ref="T25:T27"/>
    <mergeCell ref="U25:Z25"/>
    <mergeCell ref="AA25:AH25"/>
    <mergeCell ref="AI25:AL25"/>
    <mergeCell ref="AM25:AT25"/>
    <mergeCell ref="AU25:AU27"/>
    <mergeCell ref="BF24:BF27"/>
    <mergeCell ref="BG24:BG27"/>
    <mergeCell ref="BH24:BH27"/>
    <mergeCell ref="BI24:BI27"/>
    <mergeCell ref="BJ24:BJ27"/>
    <mergeCell ref="BK24:BK27"/>
    <mergeCell ref="AU24:AZ24"/>
    <mergeCell ref="BA24:BA27"/>
    <mergeCell ref="BB24:BB27"/>
    <mergeCell ref="BC24:BC27"/>
    <mergeCell ref="BD24:BD27"/>
    <mergeCell ref="BE24:BE27"/>
    <mergeCell ref="AV25:AV27"/>
    <mergeCell ref="AW25:AW27"/>
    <mergeCell ref="AX25:AX27"/>
    <mergeCell ref="AY25:AY27"/>
    <mergeCell ref="AQ28:AR28"/>
    <mergeCell ref="AS28:AT28"/>
    <mergeCell ref="U29:V29"/>
    <mergeCell ref="W29:X29"/>
    <mergeCell ref="Y29:Z29"/>
    <mergeCell ref="AA29:AB29"/>
    <mergeCell ref="AC29:AD29"/>
    <mergeCell ref="AE29:AF29"/>
    <mergeCell ref="AG29:AH29"/>
    <mergeCell ref="AI29:AJ29"/>
    <mergeCell ref="AE28:AF28"/>
    <mergeCell ref="AG28:AH28"/>
    <mergeCell ref="AI28:AJ28"/>
    <mergeCell ref="AK28:AL28"/>
    <mergeCell ref="AM28:AN28"/>
    <mergeCell ref="AO28:AP28"/>
    <mergeCell ref="AZ25:AZ27"/>
    <mergeCell ref="U26:Z26"/>
    <mergeCell ref="AA26:AH26"/>
    <mergeCell ref="AI26:AL26"/>
    <mergeCell ref="AM26:AT26"/>
    <mergeCell ref="U28:V28"/>
    <mergeCell ref="W28:X28"/>
    <mergeCell ref="Y28:Z28"/>
    <mergeCell ref="AA28:AB28"/>
    <mergeCell ref="AC28:AD28"/>
    <mergeCell ref="AK30:AL30"/>
    <mergeCell ref="AM30:AN30"/>
    <mergeCell ref="AO30:AP30"/>
    <mergeCell ref="AQ30:AR30"/>
    <mergeCell ref="AS30:AT30"/>
    <mergeCell ref="U31:V31"/>
    <mergeCell ref="W31:X31"/>
    <mergeCell ref="Y31:Z31"/>
    <mergeCell ref="AA31:AB31"/>
    <mergeCell ref="AC31:AD31"/>
    <mergeCell ref="CF29:CG29"/>
    <mergeCell ref="CH29:CI29"/>
    <mergeCell ref="U30:V30"/>
    <mergeCell ref="W30:X30"/>
    <mergeCell ref="Y30:Z30"/>
    <mergeCell ref="AA30:AB30"/>
    <mergeCell ref="AC30:AD30"/>
    <mergeCell ref="AE30:AF30"/>
    <mergeCell ref="AG30:AH30"/>
    <mergeCell ref="AI30:AJ30"/>
    <mergeCell ref="AK29:AL29"/>
    <mergeCell ref="AM29:AN29"/>
    <mergeCell ref="AO29:AP29"/>
    <mergeCell ref="AQ29:AR29"/>
    <mergeCell ref="AS29:AT29"/>
    <mergeCell ref="BT29:CC29"/>
    <mergeCell ref="AK32:AL32"/>
    <mergeCell ref="AM32:AN32"/>
    <mergeCell ref="AO32:AP32"/>
    <mergeCell ref="AQ32:AR32"/>
    <mergeCell ref="AS32:AT32"/>
    <mergeCell ref="U33:V33"/>
    <mergeCell ref="W33:X33"/>
    <mergeCell ref="Y33:Z33"/>
    <mergeCell ref="AA33:AB33"/>
    <mergeCell ref="AC33:AD33"/>
    <mergeCell ref="AQ31:AR31"/>
    <mergeCell ref="AS31:AT31"/>
    <mergeCell ref="U32:V32"/>
    <mergeCell ref="W32:X32"/>
    <mergeCell ref="Y32:Z32"/>
    <mergeCell ref="AA32:AB32"/>
    <mergeCell ref="AC32:AD32"/>
    <mergeCell ref="AE32:AF32"/>
    <mergeCell ref="AG32:AH32"/>
    <mergeCell ref="AI32:AJ32"/>
    <mergeCell ref="AE31:AF31"/>
    <mergeCell ref="AG31:AH31"/>
    <mergeCell ref="AI31:AJ31"/>
    <mergeCell ref="AK31:AL31"/>
    <mergeCell ref="AM31:AN31"/>
    <mergeCell ref="AO31:AP31"/>
    <mergeCell ref="AK34:AL34"/>
    <mergeCell ref="AM34:AN34"/>
    <mergeCell ref="AO34:AP34"/>
    <mergeCell ref="AQ34:AR34"/>
    <mergeCell ref="AS34:AT34"/>
    <mergeCell ref="U35:V35"/>
    <mergeCell ref="W35:X35"/>
    <mergeCell ref="Y35:Z35"/>
    <mergeCell ref="AA35:AB35"/>
    <mergeCell ref="AC35:AD35"/>
    <mergeCell ref="AQ33:AR33"/>
    <mergeCell ref="AS33:AT33"/>
    <mergeCell ref="U34:V34"/>
    <mergeCell ref="W34:X34"/>
    <mergeCell ref="Y34:Z34"/>
    <mergeCell ref="AA34:AB34"/>
    <mergeCell ref="AC34:AD34"/>
    <mergeCell ref="AE34:AF34"/>
    <mergeCell ref="AG34:AH34"/>
    <mergeCell ref="AI34:AJ34"/>
    <mergeCell ref="AE33:AF33"/>
    <mergeCell ref="AG33:AH33"/>
    <mergeCell ref="AI33:AJ33"/>
    <mergeCell ref="AK33:AL33"/>
    <mergeCell ref="AM33:AN33"/>
    <mergeCell ref="AO33:AP33"/>
    <mergeCell ref="AK36:AL36"/>
    <mergeCell ref="AM36:AN36"/>
    <mergeCell ref="AO36:AP36"/>
    <mergeCell ref="AQ36:AR36"/>
    <mergeCell ref="AS36:AT36"/>
    <mergeCell ref="U37:V37"/>
    <mergeCell ref="W37:X37"/>
    <mergeCell ref="Y37:Z37"/>
    <mergeCell ref="AA37:AB37"/>
    <mergeCell ref="AC37:AD37"/>
    <mergeCell ref="AQ35:AR35"/>
    <mergeCell ref="AS35:AT35"/>
    <mergeCell ref="U36:V36"/>
    <mergeCell ref="W36:X36"/>
    <mergeCell ref="Y36:Z36"/>
    <mergeCell ref="AA36:AB36"/>
    <mergeCell ref="AC36:AD36"/>
    <mergeCell ref="AE36:AF36"/>
    <mergeCell ref="AG36:AH36"/>
    <mergeCell ref="AI36:AJ36"/>
    <mergeCell ref="AE35:AF35"/>
    <mergeCell ref="AG35:AH35"/>
    <mergeCell ref="AI35:AJ35"/>
    <mergeCell ref="AK35:AL35"/>
    <mergeCell ref="AM35:AN35"/>
    <mergeCell ref="AO35:AP35"/>
    <mergeCell ref="AK38:AL38"/>
    <mergeCell ref="AM38:AN38"/>
    <mergeCell ref="AO38:AP38"/>
    <mergeCell ref="AQ38:AR38"/>
    <mergeCell ref="AS38:AT38"/>
    <mergeCell ref="U39:V39"/>
    <mergeCell ref="W39:X39"/>
    <mergeCell ref="Y39:Z39"/>
    <mergeCell ref="AA39:AB39"/>
    <mergeCell ref="AC39:AD39"/>
    <mergeCell ref="AQ37:AR37"/>
    <mergeCell ref="AS37:AT37"/>
    <mergeCell ref="U38:V38"/>
    <mergeCell ref="W38:X38"/>
    <mergeCell ref="Y38:Z38"/>
    <mergeCell ref="AA38:AB38"/>
    <mergeCell ref="AC38:AD38"/>
    <mergeCell ref="AE38:AF38"/>
    <mergeCell ref="AG38:AH38"/>
    <mergeCell ref="AI38:AJ38"/>
    <mergeCell ref="AE37:AF37"/>
    <mergeCell ref="AG37:AH37"/>
    <mergeCell ref="AI37:AJ37"/>
    <mergeCell ref="AK37:AL37"/>
    <mergeCell ref="AM37:AN37"/>
    <mergeCell ref="AO37:AP37"/>
    <mergeCell ref="AK40:AL40"/>
    <mergeCell ref="AM40:AN40"/>
    <mergeCell ref="AO40:AP40"/>
    <mergeCell ref="AQ40:AR40"/>
    <mergeCell ref="AS40:AT40"/>
    <mergeCell ref="U41:V41"/>
    <mergeCell ref="W41:X41"/>
    <mergeCell ref="Y41:Z41"/>
    <mergeCell ref="AA41:AB41"/>
    <mergeCell ref="AC41:AD41"/>
    <mergeCell ref="AQ39:AR39"/>
    <mergeCell ref="AS39:AT39"/>
    <mergeCell ref="U40:V40"/>
    <mergeCell ref="W40:X40"/>
    <mergeCell ref="Y40:Z40"/>
    <mergeCell ref="AA40:AB40"/>
    <mergeCell ref="AC40:AD40"/>
    <mergeCell ref="AE40:AF40"/>
    <mergeCell ref="AG40:AH40"/>
    <mergeCell ref="AI40:AJ40"/>
    <mergeCell ref="AE39:AF39"/>
    <mergeCell ref="AG39:AH39"/>
    <mergeCell ref="AI39:AJ39"/>
    <mergeCell ref="AK39:AL39"/>
    <mergeCell ref="AM39:AN39"/>
    <mergeCell ref="AO39:AP39"/>
    <mergeCell ref="AK42:AL42"/>
    <mergeCell ref="AM42:AN42"/>
    <mergeCell ref="AO42:AP42"/>
    <mergeCell ref="AQ42:AR42"/>
    <mergeCell ref="AS42:AT42"/>
    <mergeCell ref="U43:V43"/>
    <mergeCell ref="W43:X43"/>
    <mergeCell ref="Y43:Z43"/>
    <mergeCell ref="AA43:AB43"/>
    <mergeCell ref="AC43:AD43"/>
    <mergeCell ref="AQ41:AR41"/>
    <mergeCell ref="AS41:AT41"/>
    <mergeCell ref="U42:V42"/>
    <mergeCell ref="W42:X42"/>
    <mergeCell ref="Y42:Z42"/>
    <mergeCell ref="AA42:AB42"/>
    <mergeCell ref="AC42:AD42"/>
    <mergeCell ref="AE42:AF42"/>
    <mergeCell ref="AG42:AH42"/>
    <mergeCell ref="AI42:AJ42"/>
    <mergeCell ref="AE41:AF41"/>
    <mergeCell ref="AG41:AH41"/>
    <mergeCell ref="AI41:AJ41"/>
    <mergeCell ref="AK41:AL41"/>
    <mergeCell ref="AM41:AN41"/>
    <mergeCell ref="AO41:AP41"/>
    <mergeCell ref="AK44:AL44"/>
    <mergeCell ref="AM44:AN44"/>
    <mergeCell ref="AO44:AP44"/>
    <mergeCell ref="AQ44:AR44"/>
    <mergeCell ref="AS44:AT44"/>
    <mergeCell ref="U45:V45"/>
    <mergeCell ref="W45:X45"/>
    <mergeCell ref="Y45:Z45"/>
    <mergeCell ref="AA45:AB45"/>
    <mergeCell ref="AC45:AD45"/>
    <mergeCell ref="AQ43:AR43"/>
    <mergeCell ref="AS43:AT43"/>
    <mergeCell ref="U44:V44"/>
    <mergeCell ref="W44:X44"/>
    <mergeCell ref="Y44:Z44"/>
    <mergeCell ref="AA44:AB44"/>
    <mergeCell ref="AC44:AD44"/>
    <mergeCell ref="AE44:AF44"/>
    <mergeCell ref="AG44:AH44"/>
    <mergeCell ref="AI44:AJ44"/>
    <mergeCell ref="AE43:AF43"/>
    <mergeCell ref="AG43:AH43"/>
    <mergeCell ref="AI43:AJ43"/>
    <mergeCell ref="AK43:AL43"/>
    <mergeCell ref="AM43:AN43"/>
    <mergeCell ref="AO43:AP43"/>
    <mergeCell ref="AK46:AL46"/>
    <mergeCell ref="AM46:AN46"/>
    <mergeCell ref="AO46:AP46"/>
    <mergeCell ref="AQ46:AR46"/>
    <mergeCell ref="AS46:AT46"/>
    <mergeCell ref="U47:V47"/>
    <mergeCell ref="W47:X47"/>
    <mergeCell ref="Y47:Z47"/>
    <mergeCell ref="AA47:AB47"/>
    <mergeCell ref="AC47:AD47"/>
    <mergeCell ref="AQ45:AR45"/>
    <mergeCell ref="AS45:AT45"/>
    <mergeCell ref="U46:V46"/>
    <mergeCell ref="W46:X46"/>
    <mergeCell ref="Y46:Z46"/>
    <mergeCell ref="AA46:AB46"/>
    <mergeCell ref="AC46:AD46"/>
    <mergeCell ref="AE46:AF46"/>
    <mergeCell ref="AG46:AH46"/>
    <mergeCell ref="AI46:AJ46"/>
    <mergeCell ref="AE45:AF45"/>
    <mergeCell ref="AG45:AH45"/>
    <mergeCell ref="AI45:AJ45"/>
    <mergeCell ref="AK45:AL45"/>
    <mergeCell ref="AM45:AN45"/>
    <mergeCell ref="AO45:AP45"/>
    <mergeCell ref="AK48:AL48"/>
    <mergeCell ref="AM48:AN48"/>
    <mergeCell ref="AO48:AP48"/>
    <mergeCell ref="AQ48:AR48"/>
    <mergeCell ref="AS48:AT48"/>
    <mergeCell ref="U49:V49"/>
    <mergeCell ref="W49:X49"/>
    <mergeCell ref="Y49:Z49"/>
    <mergeCell ref="AA49:AB49"/>
    <mergeCell ref="AC49:AD49"/>
    <mergeCell ref="AQ47:AR47"/>
    <mergeCell ref="AS47:AT47"/>
    <mergeCell ref="U48:V48"/>
    <mergeCell ref="W48:X48"/>
    <mergeCell ref="Y48:Z48"/>
    <mergeCell ref="AA48:AB48"/>
    <mergeCell ref="AC48:AD48"/>
    <mergeCell ref="AE48:AF48"/>
    <mergeCell ref="AG48:AH48"/>
    <mergeCell ref="AI48:AJ48"/>
    <mergeCell ref="AE47:AF47"/>
    <mergeCell ref="AG47:AH47"/>
    <mergeCell ref="AI47:AJ47"/>
    <mergeCell ref="AK47:AL47"/>
    <mergeCell ref="AM47:AN47"/>
    <mergeCell ref="AO47:AP47"/>
    <mergeCell ref="AK50:AL50"/>
    <mergeCell ref="AM50:AN50"/>
    <mergeCell ref="AO50:AP50"/>
    <mergeCell ref="AQ50:AR50"/>
    <mergeCell ref="AS50:AT50"/>
    <mergeCell ref="U51:V51"/>
    <mergeCell ref="W51:X51"/>
    <mergeCell ref="Y51:Z51"/>
    <mergeCell ref="AA51:AB51"/>
    <mergeCell ref="AC51:AD51"/>
    <mergeCell ref="AQ49:AR49"/>
    <mergeCell ref="AS49:AT49"/>
    <mergeCell ref="U50:V50"/>
    <mergeCell ref="W50:X50"/>
    <mergeCell ref="Y50:Z50"/>
    <mergeCell ref="AA50:AB50"/>
    <mergeCell ref="AC50:AD50"/>
    <mergeCell ref="AE50:AF50"/>
    <mergeCell ref="AG50:AH50"/>
    <mergeCell ref="AI50:AJ50"/>
    <mergeCell ref="AE49:AF49"/>
    <mergeCell ref="AG49:AH49"/>
    <mergeCell ref="AI49:AJ49"/>
    <mergeCell ref="AK49:AL49"/>
    <mergeCell ref="AM49:AN49"/>
    <mergeCell ref="AO49:AP49"/>
    <mergeCell ref="AK52:AL52"/>
    <mergeCell ref="AM52:AN52"/>
    <mergeCell ref="AO52:AP52"/>
    <mergeCell ref="AQ52:AR52"/>
    <mergeCell ref="AS52:AT52"/>
    <mergeCell ref="U53:V53"/>
    <mergeCell ref="W53:X53"/>
    <mergeCell ref="Y53:Z53"/>
    <mergeCell ref="AA53:AB53"/>
    <mergeCell ref="AC53:AD53"/>
    <mergeCell ref="AQ51:AR51"/>
    <mergeCell ref="AS51:AT51"/>
    <mergeCell ref="U52:V52"/>
    <mergeCell ref="W52:X52"/>
    <mergeCell ref="Y52:Z52"/>
    <mergeCell ref="AA52:AB52"/>
    <mergeCell ref="AC52:AD52"/>
    <mergeCell ref="AE52:AF52"/>
    <mergeCell ref="AG52:AH52"/>
    <mergeCell ref="AI52:AJ52"/>
    <mergeCell ref="AE51:AF51"/>
    <mergeCell ref="AG51:AH51"/>
    <mergeCell ref="AI51:AJ51"/>
    <mergeCell ref="AK51:AL51"/>
    <mergeCell ref="AM51:AN51"/>
    <mergeCell ref="AO51:AP51"/>
    <mergeCell ref="AK54:AL54"/>
    <mergeCell ref="AM54:AN54"/>
    <mergeCell ref="AO54:AP54"/>
    <mergeCell ref="AQ54:AR54"/>
    <mergeCell ref="AS54:AT54"/>
    <mergeCell ref="U55:V55"/>
    <mergeCell ref="W55:X55"/>
    <mergeCell ref="Y55:Z55"/>
    <mergeCell ref="AA55:AB55"/>
    <mergeCell ref="AC55:AD55"/>
    <mergeCell ref="AQ53:AR53"/>
    <mergeCell ref="AS53:AT53"/>
    <mergeCell ref="U54:V54"/>
    <mergeCell ref="W54:X54"/>
    <mergeCell ref="Y54:Z54"/>
    <mergeCell ref="AA54:AB54"/>
    <mergeCell ref="AC54:AD54"/>
    <mergeCell ref="AE54:AF54"/>
    <mergeCell ref="AG54:AH54"/>
    <mergeCell ref="AI54:AJ54"/>
    <mergeCell ref="AE53:AF53"/>
    <mergeCell ref="AG53:AH53"/>
    <mergeCell ref="AI53:AJ53"/>
    <mergeCell ref="AK53:AL53"/>
    <mergeCell ref="AM53:AN53"/>
    <mergeCell ref="AO53:AP53"/>
    <mergeCell ref="AK56:AL56"/>
    <mergeCell ref="AM56:AN56"/>
    <mergeCell ref="AO56:AP56"/>
    <mergeCell ref="AQ56:AR56"/>
    <mergeCell ref="AS56:AT56"/>
    <mergeCell ref="CF56:CI56"/>
    <mergeCell ref="AQ55:AR55"/>
    <mergeCell ref="AS55:AT55"/>
    <mergeCell ref="U56:V56"/>
    <mergeCell ref="W56:X56"/>
    <mergeCell ref="Y56:Z56"/>
    <mergeCell ref="AA56:AB56"/>
    <mergeCell ref="AC56:AD56"/>
    <mergeCell ref="AE56:AF56"/>
    <mergeCell ref="AG56:AH56"/>
    <mergeCell ref="AI56:AJ56"/>
    <mergeCell ref="AE55:AF55"/>
    <mergeCell ref="AG55:AH55"/>
    <mergeCell ref="AI55:AJ55"/>
    <mergeCell ref="AK55:AL55"/>
    <mergeCell ref="AM55:AN55"/>
    <mergeCell ref="AO55:AP55"/>
    <mergeCell ref="AS57:AT57"/>
    <mergeCell ref="U58:V58"/>
    <mergeCell ref="W58:X58"/>
    <mergeCell ref="Y58:Z58"/>
    <mergeCell ref="AA58:AB58"/>
    <mergeCell ref="AC58:AD58"/>
    <mergeCell ref="AE58:AF58"/>
    <mergeCell ref="AG58:AH58"/>
    <mergeCell ref="AI58:AJ58"/>
    <mergeCell ref="AK58:AL58"/>
    <mergeCell ref="AG57:AH57"/>
    <mergeCell ref="AI57:AJ57"/>
    <mergeCell ref="AK57:AL57"/>
    <mergeCell ref="AM57:AN57"/>
    <mergeCell ref="AO57:AP57"/>
    <mergeCell ref="AQ57:AR57"/>
    <mergeCell ref="U57:V57"/>
    <mergeCell ref="W57:X57"/>
    <mergeCell ref="Y57:Z57"/>
    <mergeCell ref="AA57:AB57"/>
    <mergeCell ref="AC57:AD57"/>
    <mergeCell ref="AE57:AF57"/>
    <mergeCell ref="AS59:AT59"/>
    <mergeCell ref="U60:V60"/>
    <mergeCell ref="W60:X60"/>
    <mergeCell ref="Y60:Z60"/>
    <mergeCell ref="AA60:AB60"/>
    <mergeCell ref="AC60:AD60"/>
    <mergeCell ref="AE60:AF60"/>
    <mergeCell ref="AG60:AH60"/>
    <mergeCell ref="AI60:AJ60"/>
    <mergeCell ref="AK60:AL60"/>
    <mergeCell ref="AG59:AH59"/>
    <mergeCell ref="AI59:AJ59"/>
    <mergeCell ref="AK59:AL59"/>
    <mergeCell ref="AM59:AN59"/>
    <mergeCell ref="AO59:AP59"/>
    <mergeCell ref="AQ59:AR59"/>
    <mergeCell ref="AM58:AN58"/>
    <mergeCell ref="AO58:AP58"/>
    <mergeCell ref="AQ58:AR58"/>
    <mergeCell ref="AS58:AT58"/>
    <mergeCell ref="U59:V59"/>
    <mergeCell ref="W59:X59"/>
    <mergeCell ref="Y59:Z59"/>
    <mergeCell ref="AA59:AB59"/>
    <mergeCell ref="AC59:AD59"/>
    <mergeCell ref="AE59:AF59"/>
    <mergeCell ref="AS61:AT61"/>
    <mergeCell ref="U62:V62"/>
    <mergeCell ref="W62:X62"/>
    <mergeCell ref="Y62:Z62"/>
    <mergeCell ref="AA62:AB62"/>
    <mergeCell ref="AC62:AD62"/>
    <mergeCell ref="AE62:AF62"/>
    <mergeCell ref="AG62:AH62"/>
    <mergeCell ref="AI62:AJ62"/>
    <mergeCell ref="AK62:AL62"/>
    <mergeCell ref="AG61:AH61"/>
    <mergeCell ref="AI61:AJ61"/>
    <mergeCell ref="AK61:AL61"/>
    <mergeCell ref="AM61:AN61"/>
    <mergeCell ref="AO61:AP61"/>
    <mergeCell ref="AQ61:AR61"/>
    <mergeCell ref="AM60:AN60"/>
    <mergeCell ref="AO60:AP60"/>
    <mergeCell ref="AQ60:AR60"/>
    <mergeCell ref="AS60:AT60"/>
    <mergeCell ref="U61:V61"/>
    <mergeCell ref="W61:X61"/>
    <mergeCell ref="Y61:Z61"/>
    <mergeCell ref="AA61:AB61"/>
    <mergeCell ref="AC61:AD61"/>
    <mergeCell ref="AE61:AF61"/>
    <mergeCell ref="AS63:AT63"/>
    <mergeCell ref="U66:V66"/>
    <mergeCell ref="W66:X66"/>
    <mergeCell ref="Y66:Z66"/>
    <mergeCell ref="AA66:AB66"/>
    <mergeCell ref="AC66:AD66"/>
    <mergeCell ref="AE66:AF66"/>
    <mergeCell ref="AG66:AH66"/>
    <mergeCell ref="AI66:AJ66"/>
    <mergeCell ref="AK66:AL66"/>
    <mergeCell ref="AG63:AH63"/>
    <mergeCell ref="AI63:AJ63"/>
    <mergeCell ref="AK63:AL63"/>
    <mergeCell ref="AM63:AN63"/>
    <mergeCell ref="AO63:AP63"/>
    <mergeCell ref="AQ63:AR63"/>
    <mergeCell ref="AM62:AN62"/>
    <mergeCell ref="AO62:AP62"/>
    <mergeCell ref="AQ62:AR62"/>
    <mergeCell ref="AS62:AT62"/>
    <mergeCell ref="U63:V63"/>
    <mergeCell ref="W63:X63"/>
    <mergeCell ref="Y63:Z63"/>
    <mergeCell ref="AA63:AB63"/>
    <mergeCell ref="AC63:AD63"/>
    <mergeCell ref="AE63:AF63"/>
    <mergeCell ref="U64:V64"/>
    <mergeCell ref="W64:X64"/>
    <mergeCell ref="Y64:Z64"/>
    <mergeCell ref="AA64:AB64"/>
    <mergeCell ref="AC64:AD64"/>
    <mergeCell ref="AE64:AF64"/>
    <mergeCell ref="AS67:AT67"/>
    <mergeCell ref="U68:V68"/>
    <mergeCell ref="W68:X68"/>
    <mergeCell ref="Y68:Z68"/>
    <mergeCell ref="AA68:AB68"/>
    <mergeCell ref="AC68:AD68"/>
    <mergeCell ref="AE68:AF68"/>
    <mergeCell ref="AG68:AH68"/>
    <mergeCell ref="AI68:AJ68"/>
    <mergeCell ref="AK68:AL68"/>
    <mergeCell ref="AG67:AH67"/>
    <mergeCell ref="AI67:AJ67"/>
    <mergeCell ref="AK67:AL67"/>
    <mergeCell ref="AM67:AN67"/>
    <mergeCell ref="AO67:AP67"/>
    <mergeCell ref="AQ67:AR67"/>
    <mergeCell ref="AM66:AN66"/>
    <mergeCell ref="AO66:AP66"/>
    <mergeCell ref="AQ66:AR66"/>
    <mergeCell ref="AS66:AT66"/>
    <mergeCell ref="U67:V67"/>
    <mergeCell ref="W67:X67"/>
    <mergeCell ref="Y67:Z67"/>
    <mergeCell ref="AA67:AB67"/>
    <mergeCell ref="AC67:AD67"/>
    <mergeCell ref="AE67:AF67"/>
    <mergeCell ref="AS69:AT69"/>
    <mergeCell ref="U70:V70"/>
    <mergeCell ref="W70:X70"/>
    <mergeCell ref="Y70:Z70"/>
    <mergeCell ref="AA70:AB70"/>
    <mergeCell ref="AC70:AD70"/>
    <mergeCell ref="AE70:AF70"/>
    <mergeCell ref="AG70:AH70"/>
    <mergeCell ref="AI70:AJ70"/>
    <mergeCell ref="AK70:AL70"/>
    <mergeCell ref="AG69:AH69"/>
    <mergeCell ref="AI69:AJ69"/>
    <mergeCell ref="AK69:AL69"/>
    <mergeCell ref="AM69:AN69"/>
    <mergeCell ref="AO69:AP69"/>
    <mergeCell ref="AQ69:AR69"/>
    <mergeCell ref="AM68:AN68"/>
    <mergeCell ref="AO68:AP68"/>
    <mergeCell ref="AQ68:AR68"/>
    <mergeCell ref="AS68:AT68"/>
    <mergeCell ref="U69:V69"/>
    <mergeCell ref="W69:X69"/>
    <mergeCell ref="Y69:Z69"/>
    <mergeCell ref="AA69:AB69"/>
    <mergeCell ref="AC69:AD69"/>
    <mergeCell ref="AE69:AF69"/>
    <mergeCell ref="AS71:AT71"/>
    <mergeCell ref="U72:V72"/>
    <mergeCell ref="W72:X72"/>
    <mergeCell ref="Y72:Z72"/>
    <mergeCell ref="AA72:AB72"/>
    <mergeCell ref="AC72:AD72"/>
    <mergeCell ref="AE72:AF72"/>
    <mergeCell ref="AG72:AH72"/>
    <mergeCell ref="AI72:AJ72"/>
    <mergeCell ref="AK72:AL72"/>
    <mergeCell ref="AG71:AH71"/>
    <mergeCell ref="AI71:AJ71"/>
    <mergeCell ref="AK71:AL71"/>
    <mergeCell ref="AM71:AN71"/>
    <mergeCell ref="AO71:AP71"/>
    <mergeCell ref="AQ71:AR71"/>
    <mergeCell ref="AM70:AN70"/>
    <mergeCell ref="AO70:AP70"/>
    <mergeCell ref="AQ70:AR70"/>
    <mergeCell ref="AS70:AT70"/>
    <mergeCell ref="U71:V71"/>
    <mergeCell ref="W71:X71"/>
    <mergeCell ref="Y71:Z71"/>
    <mergeCell ref="AA71:AB71"/>
    <mergeCell ref="AC71:AD71"/>
    <mergeCell ref="AE71:AF71"/>
    <mergeCell ref="AS73:AT73"/>
    <mergeCell ref="CF73:CK73"/>
    <mergeCell ref="U74:V74"/>
    <mergeCell ref="W74:X74"/>
    <mergeCell ref="Y74:Z74"/>
    <mergeCell ref="AA74:AB74"/>
    <mergeCell ref="AC74:AD74"/>
    <mergeCell ref="AE74:AF74"/>
    <mergeCell ref="AG74:AH74"/>
    <mergeCell ref="AI74:AJ74"/>
    <mergeCell ref="AG73:AH73"/>
    <mergeCell ref="AI73:AJ73"/>
    <mergeCell ref="AK73:AL73"/>
    <mergeCell ref="AM73:AN73"/>
    <mergeCell ref="AO73:AP73"/>
    <mergeCell ref="AQ73:AR73"/>
    <mergeCell ref="AM72:AN72"/>
    <mergeCell ref="AO72:AP72"/>
    <mergeCell ref="AQ72:AR72"/>
    <mergeCell ref="AS72:AT72"/>
    <mergeCell ref="U73:V73"/>
    <mergeCell ref="W73:X73"/>
    <mergeCell ref="Y73:Z73"/>
    <mergeCell ref="AA73:AB73"/>
    <mergeCell ref="AC73:AD73"/>
    <mergeCell ref="AE73:AF73"/>
    <mergeCell ref="AQ75:AR75"/>
    <mergeCell ref="AS75:AT75"/>
    <mergeCell ref="U76:V76"/>
    <mergeCell ref="W76:X76"/>
    <mergeCell ref="Y76:Z76"/>
    <mergeCell ref="AA76:AB76"/>
    <mergeCell ref="AC76:AD76"/>
    <mergeCell ref="AE76:AF76"/>
    <mergeCell ref="AG76:AH76"/>
    <mergeCell ref="AI76:AJ76"/>
    <mergeCell ref="AE75:AF75"/>
    <mergeCell ref="AG75:AH75"/>
    <mergeCell ref="AI75:AJ75"/>
    <mergeCell ref="AK75:AL75"/>
    <mergeCell ref="AM75:AN75"/>
    <mergeCell ref="AO75:AP75"/>
    <mergeCell ref="AK74:AL74"/>
    <mergeCell ref="AM74:AN74"/>
    <mergeCell ref="AO74:AP74"/>
    <mergeCell ref="AQ74:AR74"/>
    <mergeCell ref="AS74:AT74"/>
    <mergeCell ref="U75:V75"/>
    <mergeCell ref="W75:X75"/>
    <mergeCell ref="Y75:Z75"/>
    <mergeCell ref="AA75:AB75"/>
    <mergeCell ref="AC75:AD75"/>
    <mergeCell ref="AQ77:AR77"/>
    <mergeCell ref="AS77:AT77"/>
    <mergeCell ref="U78:V78"/>
    <mergeCell ref="W78:X78"/>
    <mergeCell ref="Y78:Z78"/>
    <mergeCell ref="AA78:AB78"/>
    <mergeCell ref="AC78:AD78"/>
    <mergeCell ref="AE78:AF78"/>
    <mergeCell ref="AG78:AH78"/>
    <mergeCell ref="AI78:AJ78"/>
    <mergeCell ref="AE77:AF77"/>
    <mergeCell ref="AG77:AH77"/>
    <mergeCell ref="AI77:AJ77"/>
    <mergeCell ref="AK77:AL77"/>
    <mergeCell ref="AM77:AN77"/>
    <mergeCell ref="AO77:AP77"/>
    <mergeCell ref="AK76:AL76"/>
    <mergeCell ref="AM76:AN76"/>
    <mergeCell ref="AO76:AP76"/>
    <mergeCell ref="AQ76:AR76"/>
    <mergeCell ref="AS76:AT76"/>
    <mergeCell ref="U77:V77"/>
    <mergeCell ref="W77:X77"/>
    <mergeCell ref="Y77:Z77"/>
    <mergeCell ref="AA77:AB77"/>
    <mergeCell ref="AC77:AD77"/>
    <mergeCell ref="AQ79:AR79"/>
    <mergeCell ref="AS79:AT79"/>
    <mergeCell ref="U80:V80"/>
    <mergeCell ref="W80:X80"/>
    <mergeCell ref="Y80:Z80"/>
    <mergeCell ref="AA80:AB80"/>
    <mergeCell ref="AC80:AD80"/>
    <mergeCell ref="AE80:AF80"/>
    <mergeCell ref="AG80:AH80"/>
    <mergeCell ref="AI80:AJ80"/>
    <mergeCell ref="AE79:AF79"/>
    <mergeCell ref="AG79:AH79"/>
    <mergeCell ref="AI79:AJ79"/>
    <mergeCell ref="AK79:AL79"/>
    <mergeCell ref="AM79:AN79"/>
    <mergeCell ref="AO79:AP79"/>
    <mergeCell ref="AK78:AL78"/>
    <mergeCell ref="AM78:AN78"/>
    <mergeCell ref="AO78:AP78"/>
    <mergeCell ref="AQ78:AR78"/>
    <mergeCell ref="AS78:AT78"/>
    <mergeCell ref="U79:V79"/>
    <mergeCell ref="W79:X79"/>
    <mergeCell ref="Y79:Z79"/>
    <mergeCell ref="AA79:AB79"/>
    <mergeCell ref="AC79:AD79"/>
    <mergeCell ref="AQ81:AR81"/>
    <mergeCell ref="AS81:AT81"/>
    <mergeCell ref="U82:V82"/>
    <mergeCell ref="W82:X82"/>
    <mergeCell ref="Y82:Z82"/>
    <mergeCell ref="AA82:AB82"/>
    <mergeCell ref="AC82:AD82"/>
    <mergeCell ref="AE82:AF82"/>
    <mergeCell ref="AG82:AH82"/>
    <mergeCell ref="AI82:AJ82"/>
    <mergeCell ref="AE81:AF81"/>
    <mergeCell ref="AG81:AH81"/>
    <mergeCell ref="AI81:AJ81"/>
    <mergeCell ref="AK81:AL81"/>
    <mergeCell ref="AM81:AN81"/>
    <mergeCell ref="AO81:AP81"/>
    <mergeCell ref="AK80:AL80"/>
    <mergeCell ref="AM80:AN80"/>
    <mergeCell ref="AO80:AP80"/>
    <mergeCell ref="AQ80:AR80"/>
    <mergeCell ref="AS80:AT80"/>
    <mergeCell ref="U81:V81"/>
    <mergeCell ref="W81:X81"/>
    <mergeCell ref="Y81:Z81"/>
    <mergeCell ref="AA81:AB81"/>
    <mergeCell ref="AC81:AD81"/>
    <mergeCell ref="AQ83:AR83"/>
    <mergeCell ref="AS83:AT83"/>
    <mergeCell ref="U84:V84"/>
    <mergeCell ref="W84:X84"/>
    <mergeCell ref="Y84:Z84"/>
    <mergeCell ref="AA84:AB84"/>
    <mergeCell ref="AC84:AD84"/>
    <mergeCell ref="AE84:AF84"/>
    <mergeCell ref="AG84:AH84"/>
    <mergeCell ref="AI84:AJ84"/>
    <mergeCell ref="AE83:AF83"/>
    <mergeCell ref="AG83:AH83"/>
    <mergeCell ref="AI83:AJ83"/>
    <mergeCell ref="AK83:AL83"/>
    <mergeCell ref="AM83:AN83"/>
    <mergeCell ref="AO83:AP83"/>
    <mergeCell ref="AK82:AL82"/>
    <mergeCell ref="AM82:AN82"/>
    <mergeCell ref="AO82:AP82"/>
    <mergeCell ref="AQ82:AR82"/>
    <mergeCell ref="AS82:AT82"/>
    <mergeCell ref="U83:V83"/>
    <mergeCell ref="W83:X83"/>
    <mergeCell ref="Y83:Z83"/>
    <mergeCell ref="AA83:AB83"/>
    <mergeCell ref="AC83:AD83"/>
    <mergeCell ref="AQ85:AR85"/>
    <mergeCell ref="AS85:AT85"/>
    <mergeCell ref="U86:V86"/>
    <mergeCell ref="W86:X86"/>
    <mergeCell ref="Y86:Z86"/>
    <mergeCell ref="AA86:AB86"/>
    <mergeCell ref="AC86:AD86"/>
    <mergeCell ref="AE86:AF86"/>
    <mergeCell ref="AG86:AH86"/>
    <mergeCell ref="AI86:AJ86"/>
    <mergeCell ref="AE85:AF85"/>
    <mergeCell ref="AG85:AH85"/>
    <mergeCell ref="AI85:AJ85"/>
    <mergeCell ref="AK85:AL85"/>
    <mergeCell ref="AM85:AN85"/>
    <mergeCell ref="AO85:AP85"/>
    <mergeCell ref="AK84:AL84"/>
    <mergeCell ref="AM84:AN84"/>
    <mergeCell ref="AO84:AP84"/>
    <mergeCell ref="AQ84:AR84"/>
    <mergeCell ref="AS84:AT84"/>
    <mergeCell ref="U85:V85"/>
    <mergeCell ref="W85:X85"/>
    <mergeCell ref="Y85:Z85"/>
    <mergeCell ref="AA85:AB85"/>
    <mergeCell ref="AC85:AD85"/>
    <mergeCell ref="AQ87:AR87"/>
    <mergeCell ref="AS87:AT87"/>
    <mergeCell ref="U88:V88"/>
    <mergeCell ref="W88:X88"/>
    <mergeCell ref="Y88:Z88"/>
    <mergeCell ref="AA88:AB88"/>
    <mergeCell ref="AC88:AD88"/>
    <mergeCell ref="AE88:AF88"/>
    <mergeCell ref="AG88:AH88"/>
    <mergeCell ref="AI88:AJ88"/>
    <mergeCell ref="AE87:AF87"/>
    <mergeCell ref="AG87:AH87"/>
    <mergeCell ref="AI87:AJ87"/>
    <mergeCell ref="AK87:AL87"/>
    <mergeCell ref="AM87:AN87"/>
    <mergeCell ref="AO87:AP87"/>
    <mergeCell ref="AK86:AL86"/>
    <mergeCell ref="AM86:AN86"/>
    <mergeCell ref="AO86:AP86"/>
    <mergeCell ref="AQ86:AR86"/>
    <mergeCell ref="AS86:AT86"/>
    <mergeCell ref="U87:V87"/>
    <mergeCell ref="W87:X87"/>
    <mergeCell ref="Y87:Z87"/>
    <mergeCell ref="AA87:AB87"/>
    <mergeCell ref="AC87:AD87"/>
    <mergeCell ref="AQ89:AR89"/>
    <mergeCell ref="AS89:AT89"/>
    <mergeCell ref="U90:V90"/>
    <mergeCell ref="W90:X90"/>
    <mergeCell ref="Y90:Z90"/>
    <mergeCell ref="AA90:AB90"/>
    <mergeCell ref="AC90:AD90"/>
    <mergeCell ref="AE90:AF90"/>
    <mergeCell ref="AG90:AH90"/>
    <mergeCell ref="AI90:AJ90"/>
    <mergeCell ref="AE89:AF89"/>
    <mergeCell ref="AG89:AH89"/>
    <mergeCell ref="AI89:AJ89"/>
    <mergeCell ref="AK89:AL89"/>
    <mergeCell ref="AM89:AN89"/>
    <mergeCell ref="AO89:AP89"/>
    <mergeCell ref="AK88:AL88"/>
    <mergeCell ref="AM88:AN88"/>
    <mergeCell ref="AO88:AP88"/>
    <mergeCell ref="AQ88:AR88"/>
    <mergeCell ref="AS88:AT88"/>
    <mergeCell ref="U89:V89"/>
    <mergeCell ref="W89:X89"/>
    <mergeCell ref="Y89:Z89"/>
    <mergeCell ref="AA89:AB89"/>
    <mergeCell ref="AC89:AD89"/>
    <mergeCell ref="AQ91:AR91"/>
    <mergeCell ref="AS91:AT91"/>
    <mergeCell ref="U92:V92"/>
    <mergeCell ref="W92:X92"/>
    <mergeCell ref="Y92:Z92"/>
    <mergeCell ref="AA92:AB92"/>
    <mergeCell ref="AC92:AD92"/>
    <mergeCell ref="AE92:AF92"/>
    <mergeCell ref="AG92:AH92"/>
    <mergeCell ref="AI92:AJ92"/>
    <mergeCell ref="AE91:AF91"/>
    <mergeCell ref="AG91:AH91"/>
    <mergeCell ref="AI91:AJ91"/>
    <mergeCell ref="AK91:AL91"/>
    <mergeCell ref="AM91:AN91"/>
    <mergeCell ref="AO91:AP91"/>
    <mergeCell ref="AK90:AL90"/>
    <mergeCell ref="AM90:AN90"/>
    <mergeCell ref="AO90:AP90"/>
    <mergeCell ref="AQ90:AR90"/>
    <mergeCell ref="AS90:AT90"/>
    <mergeCell ref="U91:V91"/>
    <mergeCell ref="W91:X91"/>
    <mergeCell ref="Y91:Z91"/>
    <mergeCell ref="AA91:AB91"/>
    <mergeCell ref="AC91:AD91"/>
    <mergeCell ref="AQ93:AR93"/>
    <mergeCell ref="AS93:AT93"/>
    <mergeCell ref="U94:V94"/>
    <mergeCell ref="W94:X94"/>
    <mergeCell ref="Y94:Z94"/>
    <mergeCell ref="AA94:AB94"/>
    <mergeCell ref="AC94:AD94"/>
    <mergeCell ref="AE94:AF94"/>
    <mergeCell ref="AG94:AH94"/>
    <mergeCell ref="AI94:AJ94"/>
    <mergeCell ref="AE93:AF93"/>
    <mergeCell ref="AG93:AH93"/>
    <mergeCell ref="AI93:AJ93"/>
    <mergeCell ref="AK93:AL93"/>
    <mergeCell ref="AM93:AN93"/>
    <mergeCell ref="AO93:AP93"/>
    <mergeCell ref="AK92:AL92"/>
    <mergeCell ref="AM92:AN92"/>
    <mergeCell ref="AO92:AP92"/>
    <mergeCell ref="AQ92:AR92"/>
    <mergeCell ref="AS92:AT92"/>
    <mergeCell ref="U93:V93"/>
    <mergeCell ref="W93:X93"/>
    <mergeCell ref="Y93:Z93"/>
    <mergeCell ref="AA93:AB93"/>
    <mergeCell ref="AC93:AD93"/>
    <mergeCell ref="AQ95:AR95"/>
    <mergeCell ref="AS95:AT95"/>
    <mergeCell ref="U96:V96"/>
    <mergeCell ref="W96:X96"/>
    <mergeCell ref="Y96:Z96"/>
    <mergeCell ref="AA96:AB96"/>
    <mergeCell ref="AC96:AD96"/>
    <mergeCell ref="AE96:AF96"/>
    <mergeCell ref="AG96:AH96"/>
    <mergeCell ref="AI96:AJ96"/>
    <mergeCell ref="AE95:AF95"/>
    <mergeCell ref="AG95:AH95"/>
    <mergeCell ref="AI95:AJ95"/>
    <mergeCell ref="AK95:AL95"/>
    <mergeCell ref="AM95:AN95"/>
    <mergeCell ref="AO95:AP95"/>
    <mergeCell ref="AK94:AL94"/>
    <mergeCell ref="AM94:AN94"/>
    <mergeCell ref="AO94:AP94"/>
    <mergeCell ref="AQ94:AR94"/>
    <mergeCell ref="AS94:AT94"/>
    <mergeCell ref="U95:V95"/>
    <mergeCell ref="W95:X95"/>
    <mergeCell ref="Y95:Z95"/>
    <mergeCell ref="AA95:AB95"/>
    <mergeCell ref="AC95:AD95"/>
    <mergeCell ref="AQ97:AR97"/>
    <mergeCell ref="AS97:AT97"/>
    <mergeCell ref="U98:V98"/>
    <mergeCell ref="W98:X98"/>
    <mergeCell ref="Y98:Z98"/>
    <mergeCell ref="AA98:AB98"/>
    <mergeCell ref="AC98:AD98"/>
    <mergeCell ref="AE98:AF98"/>
    <mergeCell ref="AG98:AH98"/>
    <mergeCell ref="AI98:AJ98"/>
    <mergeCell ref="AE97:AF97"/>
    <mergeCell ref="AG97:AH97"/>
    <mergeCell ref="AI97:AJ97"/>
    <mergeCell ref="AK97:AL97"/>
    <mergeCell ref="AM97:AN97"/>
    <mergeCell ref="AO97:AP97"/>
    <mergeCell ref="AK96:AL96"/>
    <mergeCell ref="AM96:AN96"/>
    <mergeCell ref="AO96:AP96"/>
    <mergeCell ref="AQ96:AR96"/>
    <mergeCell ref="AS96:AT96"/>
    <mergeCell ref="U97:V97"/>
    <mergeCell ref="W97:X97"/>
    <mergeCell ref="Y97:Z97"/>
    <mergeCell ref="AA97:AB97"/>
    <mergeCell ref="AC97:AD97"/>
    <mergeCell ref="AQ99:AR99"/>
    <mergeCell ref="AS99:AT99"/>
    <mergeCell ref="U100:V100"/>
    <mergeCell ref="W100:X100"/>
    <mergeCell ref="Y100:Z100"/>
    <mergeCell ref="AA100:AB100"/>
    <mergeCell ref="AC100:AD100"/>
    <mergeCell ref="AE100:AF100"/>
    <mergeCell ref="AG100:AH100"/>
    <mergeCell ref="AI100:AJ100"/>
    <mergeCell ref="AE99:AF99"/>
    <mergeCell ref="AG99:AH99"/>
    <mergeCell ref="AI99:AJ99"/>
    <mergeCell ref="AK99:AL99"/>
    <mergeCell ref="AM99:AN99"/>
    <mergeCell ref="AO99:AP99"/>
    <mergeCell ref="AK98:AL98"/>
    <mergeCell ref="AM98:AN98"/>
    <mergeCell ref="AO98:AP98"/>
    <mergeCell ref="AQ98:AR98"/>
    <mergeCell ref="AS98:AT98"/>
    <mergeCell ref="U99:V99"/>
    <mergeCell ref="W99:X99"/>
    <mergeCell ref="Y99:Z99"/>
    <mergeCell ref="AA99:AB99"/>
    <mergeCell ref="AC99:AD99"/>
    <mergeCell ref="AQ101:AR101"/>
    <mergeCell ref="AS101:AT101"/>
    <mergeCell ref="U102:V102"/>
    <mergeCell ref="W102:X102"/>
    <mergeCell ref="Y102:Z102"/>
    <mergeCell ref="AA102:AB102"/>
    <mergeCell ref="AC102:AD102"/>
    <mergeCell ref="AE102:AF102"/>
    <mergeCell ref="AG102:AH102"/>
    <mergeCell ref="AI102:AJ102"/>
    <mergeCell ref="AE101:AF101"/>
    <mergeCell ref="AG101:AH101"/>
    <mergeCell ref="AI101:AJ101"/>
    <mergeCell ref="AK101:AL101"/>
    <mergeCell ref="AM101:AN101"/>
    <mergeCell ref="AO101:AP101"/>
    <mergeCell ref="AK100:AL100"/>
    <mergeCell ref="AM100:AN100"/>
    <mergeCell ref="AO100:AP100"/>
    <mergeCell ref="AQ100:AR100"/>
    <mergeCell ref="AS100:AT100"/>
    <mergeCell ref="U101:V101"/>
    <mergeCell ref="W101:X101"/>
    <mergeCell ref="Y101:Z101"/>
    <mergeCell ref="AA101:AB101"/>
    <mergeCell ref="AC101:AD101"/>
    <mergeCell ref="AQ103:AR103"/>
    <mergeCell ref="AS103:AT103"/>
    <mergeCell ref="U104:V104"/>
    <mergeCell ref="W104:X104"/>
    <mergeCell ref="Y104:Z104"/>
    <mergeCell ref="AA104:AB104"/>
    <mergeCell ref="AC104:AD104"/>
    <mergeCell ref="AE104:AF104"/>
    <mergeCell ref="AG104:AH104"/>
    <mergeCell ref="AI104:AJ104"/>
    <mergeCell ref="AE103:AF103"/>
    <mergeCell ref="AG103:AH103"/>
    <mergeCell ref="AI103:AJ103"/>
    <mergeCell ref="AK103:AL103"/>
    <mergeCell ref="AM103:AN103"/>
    <mergeCell ref="AO103:AP103"/>
    <mergeCell ref="AK102:AL102"/>
    <mergeCell ref="AM102:AN102"/>
    <mergeCell ref="AO102:AP102"/>
    <mergeCell ref="AQ102:AR102"/>
    <mergeCell ref="AS102:AT102"/>
    <mergeCell ref="U103:V103"/>
    <mergeCell ref="W103:X103"/>
    <mergeCell ref="Y103:Z103"/>
    <mergeCell ref="AA103:AB103"/>
    <mergeCell ref="AC103:AD103"/>
    <mergeCell ref="AQ105:AR105"/>
    <mergeCell ref="AS105:AT105"/>
    <mergeCell ref="U106:V106"/>
    <mergeCell ref="W106:X106"/>
    <mergeCell ref="Y106:Z106"/>
    <mergeCell ref="AA106:AB106"/>
    <mergeCell ref="AC106:AD106"/>
    <mergeCell ref="AE106:AF106"/>
    <mergeCell ref="AG106:AH106"/>
    <mergeCell ref="AI106:AJ106"/>
    <mergeCell ref="AE105:AF105"/>
    <mergeCell ref="AG105:AH105"/>
    <mergeCell ref="AI105:AJ105"/>
    <mergeCell ref="AK105:AL105"/>
    <mergeCell ref="AM105:AN105"/>
    <mergeCell ref="AO105:AP105"/>
    <mergeCell ref="AK104:AL104"/>
    <mergeCell ref="AM104:AN104"/>
    <mergeCell ref="AO104:AP104"/>
    <mergeCell ref="AQ104:AR104"/>
    <mergeCell ref="AS104:AT104"/>
    <mergeCell ref="U105:V105"/>
    <mergeCell ref="W105:X105"/>
    <mergeCell ref="Y105:Z105"/>
    <mergeCell ref="AA105:AB105"/>
    <mergeCell ref="AC105:AD105"/>
    <mergeCell ref="AQ107:AR107"/>
    <mergeCell ref="AS107:AT107"/>
    <mergeCell ref="U108:V108"/>
    <mergeCell ref="W108:X108"/>
    <mergeCell ref="Y108:Z108"/>
    <mergeCell ref="AA108:AB108"/>
    <mergeCell ref="AC108:AD108"/>
    <mergeCell ref="AE108:AF108"/>
    <mergeCell ref="AG108:AH108"/>
    <mergeCell ref="AI108:AJ108"/>
    <mergeCell ref="AE107:AF107"/>
    <mergeCell ref="AG107:AH107"/>
    <mergeCell ref="AI107:AJ107"/>
    <mergeCell ref="AK107:AL107"/>
    <mergeCell ref="AM107:AN107"/>
    <mergeCell ref="AO107:AP107"/>
    <mergeCell ref="AK106:AL106"/>
    <mergeCell ref="AM106:AN106"/>
    <mergeCell ref="AO106:AP106"/>
    <mergeCell ref="AQ106:AR106"/>
    <mergeCell ref="AS106:AT106"/>
    <mergeCell ref="U107:V107"/>
    <mergeCell ref="W107:X107"/>
    <mergeCell ref="Y107:Z107"/>
    <mergeCell ref="AA107:AB107"/>
    <mergeCell ref="AC107:AD107"/>
    <mergeCell ref="AQ109:AR109"/>
    <mergeCell ref="AS109:AT109"/>
    <mergeCell ref="U110:V110"/>
    <mergeCell ref="W110:X110"/>
    <mergeCell ref="Y110:Z110"/>
    <mergeCell ref="AA110:AB110"/>
    <mergeCell ref="AC110:AD110"/>
    <mergeCell ref="AE110:AF110"/>
    <mergeCell ref="AG110:AH110"/>
    <mergeCell ref="AI110:AJ110"/>
    <mergeCell ref="AE109:AF109"/>
    <mergeCell ref="AG109:AH109"/>
    <mergeCell ref="AI109:AJ109"/>
    <mergeCell ref="AK109:AL109"/>
    <mergeCell ref="AM109:AN109"/>
    <mergeCell ref="AO109:AP109"/>
    <mergeCell ref="AK108:AL108"/>
    <mergeCell ref="AM108:AN108"/>
    <mergeCell ref="AO108:AP108"/>
    <mergeCell ref="AQ108:AR108"/>
    <mergeCell ref="AS108:AT108"/>
    <mergeCell ref="U109:V109"/>
    <mergeCell ref="W109:X109"/>
    <mergeCell ref="Y109:Z109"/>
    <mergeCell ref="AA109:AB109"/>
    <mergeCell ref="AC109:AD109"/>
    <mergeCell ref="AQ111:AR111"/>
    <mergeCell ref="AS111:AT111"/>
    <mergeCell ref="U112:V112"/>
    <mergeCell ref="W112:X112"/>
    <mergeCell ref="Y112:Z112"/>
    <mergeCell ref="AA112:AB112"/>
    <mergeCell ref="AC112:AD112"/>
    <mergeCell ref="AE112:AF112"/>
    <mergeCell ref="AG112:AH112"/>
    <mergeCell ref="AI112:AJ112"/>
    <mergeCell ref="AE111:AF111"/>
    <mergeCell ref="AG111:AH111"/>
    <mergeCell ref="AI111:AJ111"/>
    <mergeCell ref="AK111:AL111"/>
    <mergeCell ref="AM111:AN111"/>
    <mergeCell ref="AO111:AP111"/>
    <mergeCell ref="AK110:AL110"/>
    <mergeCell ref="AM110:AN110"/>
    <mergeCell ref="AO110:AP110"/>
    <mergeCell ref="AQ110:AR110"/>
    <mergeCell ref="AS110:AT110"/>
    <mergeCell ref="U111:V111"/>
    <mergeCell ref="W111:X111"/>
    <mergeCell ref="Y111:Z111"/>
    <mergeCell ref="AA111:AB111"/>
    <mergeCell ref="AC111:AD111"/>
    <mergeCell ref="AQ113:AR113"/>
    <mergeCell ref="AS113:AT113"/>
    <mergeCell ref="U114:V114"/>
    <mergeCell ref="W114:X114"/>
    <mergeCell ref="Y114:Z114"/>
    <mergeCell ref="AA114:AB114"/>
    <mergeCell ref="AC114:AD114"/>
    <mergeCell ref="AE114:AF114"/>
    <mergeCell ref="AG114:AH114"/>
    <mergeCell ref="AI114:AJ114"/>
    <mergeCell ref="AE113:AF113"/>
    <mergeCell ref="AG113:AH113"/>
    <mergeCell ref="AI113:AJ113"/>
    <mergeCell ref="AK113:AL113"/>
    <mergeCell ref="AM113:AN113"/>
    <mergeCell ref="AO113:AP113"/>
    <mergeCell ref="AK112:AL112"/>
    <mergeCell ref="AM112:AN112"/>
    <mergeCell ref="AO112:AP112"/>
    <mergeCell ref="AQ112:AR112"/>
    <mergeCell ref="AS112:AT112"/>
    <mergeCell ref="U113:V113"/>
    <mergeCell ref="W113:X113"/>
    <mergeCell ref="Y113:Z113"/>
    <mergeCell ref="AA113:AB113"/>
    <mergeCell ref="AC113:AD113"/>
    <mergeCell ref="AQ115:AR115"/>
    <mergeCell ref="AS115:AT115"/>
    <mergeCell ref="U116:V116"/>
    <mergeCell ref="W116:X116"/>
    <mergeCell ref="Y116:Z116"/>
    <mergeCell ref="AA116:AB116"/>
    <mergeCell ref="AC116:AD116"/>
    <mergeCell ref="AE116:AF116"/>
    <mergeCell ref="AG116:AH116"/>
    <mergeCell ref="AI116:AJ116"/>
    <mergeCell ref="AE115:AF115"/>
    <mergeCell ref="AG115:AH115"/>
    <mergeCell ref="AI115:AJ115"/>
    <mergeCell ref="AK115:AL115"/>
    <mergeCell ref="AM115:AN115"/>
    <mergeCell ref="AO115:AP115"/>
    <mergeCell ref="AK114:AL114"/>
    <mergeCell ref="AM114:AN114"/>
    <mergeCell ref="AO114:AP114"/>
    <mergeCell ref="AQ114:AR114"/>
    <mergeCell ref="AS114:AT114"/>
    <mergeCell ref="U115:V115"/>
    <mergeCell ref="W115:X115"/>
    <mergeCell ref="Y115:Z115"/>
    <mergeCell ref="AA115:AB115"/>
    <mergeCell ref="AC115:AD115"/>
    <mergeCell ref="AQ117:AR117"/>
    <mergeCell ref="AS117:AT117"/>
    <mergeCell ref="U118:V118"/>
    <mergeCell ref="W118:X118"/>
    <mergeCell ref="Y118:Z118"/>
    <mergeCell ref="AA118:AB118"/>
    <mergeCell ref="AC118:AD118"/>
    <mergeCell ref="AE118:AF118"/>
    <mergeCell ref="AG118:AH118"/>
    <mergeCell ref="AI118:AJ118"/>
    <mergeCell ref="AE117:AF117"/>
    <mergeCell ref="AG117:AH117"/>
    <mergeCell ref="AI117:AJ117"/>
    <mergeCell ref="AK117:AL117"/>
    <mergeCell ref="AM117:AN117"/>
    <mergeCell ref="AO117:AP117"/>
    <mergeCell ref="AK116:AL116"/>
    <mergeCell ref="AM116:AN116"/>
    <mergeCell ref="AO116:AP116"/>
    <mergeCell ref="AQ116:AR116"/>
    <mergeCell ref="AS116:AT116"/>
    <mergeCell ref="U117:V117"/>
    <mergeCell ref="W117:X117"/>
    <mergeCell ref="Y117:Z117"/>
    <mergeCell ref="AA117:AB117"/>
    <mergeCell ref="AC117:AD117"/>
    <mergeCell ref="AQ119:AR119"/>
    <mergeCell ref="AS119:AT119"/>
    <mergeCell ref="U120:V120"/>
    <mergeCell ref="W120:X120"/>
    <mergeCell ref="Y120:Z120"/>
    <mergeCell ref="AA120:AB120"/>
    <mergeCell ref="AC120:AD120"/>
    <mergeCell ref="AE120:AF120"/>
    <mergeCell ref="AG120:AH120"/>
    <mergeCell ref="AI120:AJ120"/>
    <mergeCell ref="AE119:AF119"/>
    <mergeCell ref="AG119:AH119"/>
    <mergeCell ref="AI119:AJ119"/>
    <mergeCell ref="AK119:AL119"/>
    <mergeCell ref="AM119:AN119"/>
    <mergeCell ref="AO119:AP119"/>
    <mergeCell ref="AK118:AL118"/>
    <mergeCell ref="AM118:AN118"/>
    <mergeCell ref="AO118:AP118"/>
    <mergeCell ref="AQ118:AR118"/>
    <mergeCell ref="AS118:AT118"/>
    <mergeCell ref="U119:V119"/>
    <mergeCell ref="W119:X119"/>
    <mergeCell ref="Y119:Z119"/>
    <mergeCell ref="AA119:AB119"/>
    <mergeCell ref="AC119:AD119"/>
    <mergeCell ref="AQ121:AR121"/>
    <mergeCell ref="AS121:AT121"/>
    <mergeCell ref="U122:V122"/>
    <mergeCell ref="W122:X122"/>
    <mergeCell ref="Y122:Z122"/>
    <mergeCell ref="AA122:AB122"/>
    <mergeCell ref="AC122:AD122"/>
    <mergeCell ref="AE122:AF122"/>
    <mergeCell ref="AG122:AH122"/>
    <mergeCell ref="AI122:AJ122"/>
    <mergeCell ref="AE121:AF121"/>
    <mergeCell ref="AG121:AH121"/>
    <mergeCell ref="AI121:AJ121"/>
    <mergeCell ref="AK121:AL121"/>
    <mergeCell ref="AM121:AN121"/>
    <mergeCell ref="AO121:AP121"/>
    <mergeCell ref="AK120:AL120"/>
    <mergeCell ref="AM120:AN120"/>
    <mergeCell ref="AO120:AP120"/>
    <mergeCell ref="AQ120:AR120"/>
    <mergeCell ref="AS120:AT120"/>
    <mergeCell ref="U121:V121"/>
    <mergeCell ref="W121:X121"/>
    <mergeCell ref="Y121:Z121"/>
    <mergeCell ref="AA121:AB121"/>
    <mergeCell ref="AC121:AD121"/>
    <mergeCell ref="AQ123:AR123"/>
    <mergeCell ref="AS123:AT123"/>
    <mergeCell ref="U124:V124"/>
    <mergeCell ref="W124:X124"/>
    <mergeCell ref="Y124:Z124"/>
    <mergeCell ref="AA124:AB124"/>
    <mergeCell ref="AC124:AD124"/>
    <mergeCell ref="AE124:AF124"/>
    <mergeCell ref="AG124:AH124"/>
    <mergeCell ref="AI124:AJ124"/>
    <mergeCell ref="AE123:AF123"/>
    <mergeCell ref="AG123:AH123"/>
    <mergeCell ref="AI123:AJ123"/>
    <mergeCell ref="AK123:AL123"/>
    <mergeCell ref="AM123:AN123"/>
    <mergeCell ref="AO123:AP123"/>
    <mergeCell ref="AK122:AL122"/>
    <mergeCell ref="AM122:AN122"/>
    <mergeCell ref="AO122:AP122"/>
    <mergeCell ref="AQ122:AR122"/>
    <mergeCell ref="AS122:AT122"/>
    <mergeCell ref="U123:V123"/>
    <mergeCell ref="W123:X123"/>
    <mergeCell ref="Y123:Z123"/>
    <mergeCell ref="AA123:AB123"/>
    <mergeCell ref="AC123:AD123"/>
    <mergeCell ref="AQ125:AR125"/>
    <mergeCell ref="AS125:AT125"/>
    <mergeCell ref="U126:V126"/>
    <mergeCell ref="W126:X126"/>
    <mergeCell ref="Y126:Z126"/>
    <mergeCell ref="AA126:AB126"/>
    <mergeCell ref="AC126:AD126"/>
    <mergeCell ref="AE126:AF126"/>
    <mergeCell ref="AG126:AH126"/>
    <mergeCell ref="AI126:AJ126"/>
    <mergeCell ref="AE125:AF125"/>
    <mergeCell ref="AG125:AH125"/>
    <mergeCell ref="AI125:AJ125"/>
    <mergeCell ref="AK125:AL125"/>
    <mergeCell ref="AM125:AN125"/>
    <mergeCell ref="AO125:AP125"/>
    <mergeCell ref="AK124:AL124"/>
    <mergeCell ref="AM124:AN124"/>
    <mergeCell ref="AO124:AP124"/>
    <mergeCell ref="AQ124:AR124"/>
    <mergeCell ref="AS124:AT124"/>
    <mergeCell ref="U125:V125"/>
    <mergeCell ref="W125:X125"/>
    <mergeCell ref="Y125:Z125"/>
    <mergeCell ref="AA125:AB125"/>
    <mergeCell ref="AC125:AD125"/>
    <mergeCell ref="AQ127:AR127"/>
    <mergeCell ref="AS127:AT127"/>
    <mergeCell ref="U128:V128"/>
    <mergeCell ref="W128:X128"/>
    <mergeCell ref="Y128:Z128"/>
    <mergeCell ref="AA128:AB128"/>
    <mergeCell ref="AC128:AD128"/>
    <mergeCell ref="AE128:AF128"/>
    <mergeCell ref="AG128:AH128"/>
    <mergeCell ref="AI128:AJ128"/>
    <mergeCell ref="AE127:AF127"/>
    <mergeCell ref="AG127:AH127"/>
    <mergeCell ref="AI127:AJ127"/>
    <mergeCell ref="AK127:AL127"/>
    <mergeCell ref="AM127:AN127"/>
    <mergeCell ref="AO127:AP127"/>
    <mergeCell ref="AK126:AL126"/>
    <mergeCell ref="AM126:AN126"/>
    <mergeCell ref="AO126:AP126"/>
    <mergeCell ref="AQ126:AR126"/>
    <mergeCell ref="AS126:AT126"/>
    <mergeCell ref="U127:V127"/>
    <mergeCell ref="W127:X127"/>
    <mergeCell ref="Y127:Z127"/>
    <mergeCell ref="AA127:AB127"/>
    <mergeCell ref="AC127:AD127"/>
    <mergeCell ref="AQ129:AR129"/>
    <mergeCell ref="AS129:AT129"/>
    <mergeCell ref="U130:V130"/>
    <mergeCell ref="W130:X130"/>
    <mergeCell ref="Y130:Z130"/>
    <mergeCell ref="AA130:AB130"/>
    <mergeCell ref="AC130:AD130"/>
    <mergeCell ref="AE130:AF130"/>
    <mergeCell ref="AG130:AH130"/>
    <mergeCell ref="AI130:AJ130"/>
    <mergeCell ref="AE129:AF129"/>
    <mergeCell ref="AG129:AH129"/>
    <mergeCell ref="AI129:AJ129"/>
    <mergeCell ref="AK129:AL129"/>
    <mergeCell ref="AM129:AN129"/>
    <mergeCell ref="AO129:AP129"/>
    <mergeCell ref="AK128:AL128"/>
    <mergeCell ref="AM128:AN128"/>
    <mergeCell ref="AO128:AP128"/>
    <mergeCell ref="AQ128:AR128"/>
    <mergeCell ref="AS128:AT128"/>
    <mergeCell ref="U129:V129"/>
    <mergeCell ref="W129:X129"/>
    <mergeCell ref="Y129:Z129"/>
    <mergeCell ref="AA129:AB129"/>
    <mergeCell ref="AC129:AD129"/>
    <mergeCell ref="AQ131:AR131"/>
    <mergeCell ref="AS131:AT131"/>
    <mergeCell ref="U132:V132"/>
    <mergeCell ref="W132:X132"/>
    <mergeCell ref="Y132:Z132"/>
    <mergeCell ref="AA132:AB132"/>
    <mergeCell ref="AC132:AD132"/>
    <mergeCell ref="AE132:AF132"/>
    <mergeCell ref="AG132:AH132"/>
    <mergeCell ref="AI132:AJ132"/>
    <mergeCell ref="AE131:AF131"/>
    <mergeCell ref="AG131:AH131"/>
    <mergeCell ref="AI131:AJ131"/>
    <mergeCell ref="AK131:AL131"/>
    <mergeCell ref="AM131:AN131"/>
    <mergeCell ref="AO131:AP131"/>
    <mergeCell ref="AK130:AL130"/>
    <mergeCell ref="AM130:AN130"/>
    <mergeCell ref="AO130:AP130"/>
    <mergeCell ref="AQ130:AR130"/>
    <mergeCell ref="AS130:AT130"/>
    <mergeCell ref="U131:V131"/>
    <mergeCell ref="W131:X131"/>
    <mergeCell ref="Y131:Z131"/>
    <mergeCell ref="AA131:AB131"/>
    <mergeCell ref="AC131:AD131"/>
    <mergeCell ref="AQ133:AR133"/>
    <mergeCell ref="AS133:AT133"/>
    <mergeCell ref="U134:V134"/>
    <mergeCell ref="W134:X134"/>
    <mergeCell ref="Y134:Z134"/>
    <mergeCell ref="AA134:AB134"/>
    <mergeCell ref="AC134:AD134"/>
    <mergeCell ref="AE134:AF134"/>
    <mergeCell ref="AG134:AH134"/>
    <mergeCell ref="AI134:AJ134"/>
    <mergeCell ref="AE133:AF133"/>
    <mergeCell ref="AG133:AH133"/>
    <mergeCell ref="AI133:AJ133"/>
    <mergeCell ref="AK133:AL133"/>
    <mergeCell ref="AM133:AN133"/>
    <mergeCell ref="AO133:AP133"/>
    <mergeCell ref="AK132:AL132"/>
    <mergeCell ref="AM132:AN132"/>
    <mergeCell ref="AO132:AP132"/>
    <mergeCell ref="AQ132:AR132"/>
    <mergeCell ref="AS132:AT132"/>
    <mergeCell ref="U133:V133"/>
    <mergeCell ref="W133:X133"/>
    <mergeCell ref="Y133:Z133"/>
    <mergeCell ref="AA133:AB133"/>
    <mergeCell ref="AC133:AD133"/>
    <mergeCell ref="AQ135:AR135"/>
    <mergeCell ref="AS135:AT135"/>
    <mergeCell ref="U136:V136"/>
    <mergeCell ref="W136:X136"/>
    <mergeCell ref="Y136:Z136"/>
    <mergeCell ref="AA136:AB136"/>
    <mergeCell ref="AC136:AD136"/>
    <mergeCell ref="AE136:AF136"/>
    <mergeCell ref="AG136:AH136"/>
    <mergeCell ref="AI136:AJ136"/>
    <mergeCell ref="AE135:AF135"/>
    <mergeCell ref="AG135:AH135"/>
    <mergeCell ref="AI135:AJ135"/>
    <mergeCell ref="AK135:AL135"/>
    <mergeCell ref="AM135:AN135"/>
    <mergeCell ref="AO135:AP135"/>
    <mergeCell ref="AK134:AL134"/>
    <mergeCell ref="AM134:AN134"/>
    <mergeCell ref="AO134:AP134"/>
    <mergeCell ref="AQ134:AR134"/>
    <mergeCell ref="AS134:AT134"/>
    <mergeCell ref="U135:V135"/>
    <mergeCell ref="W135:X135"/>
    <mergeCell ref="Y135:Z135"/>
    <mergeCell ref="AA135:AB135"/>
    <mergeCell ref="AC135:AD135"/>
    <mergeCell ref="AQ137:AR137"/>
    <mergeCell ref="AS137:AT137"/>
    <mergeCell ref="U138:V138"/>
    <mergeCell ref="W138:X138"/>
    <mergeCell ref="Y138:Z138"/>
    <mergeCell ref="AA138:AB138"/>
    <mergeCell ref="AC138:AD138"/>
    <mergeCell ref="AE138:AF138"/>
    <mergeCell ref="AG138:AH138"/>
    <mergeCell ref="AI138:AJ138"/>
    <mergeCell ref="AE137:AF137"/>
    <mergeCell ref="AG137:AH137"/>
    <mergeCell ref="AI137:AJ137"/>
    <mergeCell ref="AK137:AL137"/>
    <mergeCell ref="AM137:AN137"/>
    <mergeCell ref="AO137:AP137"/>
    <mergeCell ref="AK136:AL136"/>
    <mergeCell ref="AM136:AN136"/>
    <mergeCell ref="AO136:AP136"/>
    <mergeCell ref="AQ136:AR136"/>
    <mergeCell ref="AS136:AT136"/>
    <mergeCell ref="U137:V137"/>
    <mergeCell ref="W137:X137"/>
    <mergeCell ref="Y137:Z137"/>
    <mergeCell ref="AA137:AB137"/>
    <mergeCell ref="AC137:AD137"/>
    <mergeCell ref="AQ139:AR139"/>
    <mergeCell ref="AS139:AT139"/>
    <mergeCell ref="U140:V140"/>
    <mergeCell ref="W140:X140"/>
    <mergeCell ref="Y140:Z140"/>
    <mergeCell ref="AA140:AB140"/>
    <mergeCell ref="AC140:AD140"/>
    <mergeCell ref="AE140:AF140"/>
    <mergeCell ref="AG140:AH140"/>
    <mergeCell ref="AI140:AJ140"/>
    <mergeCell ref="AE139:AF139"/>
    <mergeCell ref="AG139:AH139"/>
    <mergeCell ref="AI139:AJ139"/>
    <mergeCell ref="AK139:AL139"/>
    <mergeCell ref="AM139:AN139"/>
    <mergeCell ref="AO139:AP139"/>
    <mergeCell ref="AK138:AL138"/>
    <mergeCell ref="AM138:AN138"/>
    <mergeCell ref="AO138:AP138"/>
    <mergeCell ref="AQ138:AR138"/>
    <mergeCell ref="AS138:AT138"/>
    <mergeCell ref="U139:V139"/>
    <mergeCell ref="W139:X139"/>
    <mergeCell ref="Y139:Z139"/>
    <mergeCell ref="AA139:AB139"/>
    <mergeCell ref="AC139:AD139"/>
    <mergeCell ref="AQ141:AR141"/>
    <mergeCell ref="AS141:AT141"/>
    <mergeCell ref="U142:V142"/>
    <mergeCell ref="W142:X142"/>
    <mergeCell ref="Y142:Z142"/>
    <mergeCell ref="AA142:AB142"/>
    <mergeCell ref="AC142:AD142"/>
    <mergeCell ref="AE142:AF142"/>
    <mergeCell ref="AG142:AH142"/>
    <mergeCell ref="AI142:AJ142"/>
    <mergeCell ref="AE141:AF141"/>
    <mergeCell ref="AG141:AH141"/>
    <mergeCell ref="AI141:AJ141"/>
    <mergeCell ref="AK141:AL141"/>
    <mergeCell ref="AM141:AN141"/>
    <mergeCell ref="AO141:AP141"/>
    <mergeCell ref="AK140:AL140"/>
    <mergeCell ref="AM140:AN140"/>
    <mergeCell ref="AO140:AP140"/>
    <mergeCell ref="AQ140:AR140"/>
    <mergeCell ref="AS140:AT140"/>
    <mergeCell ref="U141:V141"/>
    <mergeCell ref="W141:X141"/>
    <mergeCell ref="Y141:Z141"/>
    <mergeCell ref="AA141:AB141"/>
    <mergeCell ref="AC141:AD141"/>
    <mergeCell ref="AQ143:AR143"/>
    <mergeCell ref="AS143:AT143"/>
    <mergeCell ref="U144:V144"/>
    <mergeCell ref="W144:X144"/>
    <mergeCell ref="Y144:Z144"/>
    <mergeCell ref="AA144:AB144"/>
    <mergeCell ref="AC144:AD144"/>
    <mergeCell ref="AE144:AF144"/>
    <mergeCell ref="AG144:AH144"/>
    <mergeCell ref="AI144:AJ144"/>
    <mergeCell ref="AE143:AF143"/>
    <mergeCell ref="AG143:AH143"/>
    <mergeCell ref="AI143:AJ143"/>
    <mergeCell ref="AK143:AL143"/>
    <mergeCell ref="AM143:AN143"/>
    <mergeCell ref="AO143:AP143"/>
    <mergeCell ref="AK142:AL142"/>
    <mergeCell ref="AM142:AN142"/>
    <mergeCell ref="AO142:AP142"/>
    <mergeCell ref="AQ142:AR142"/>
    <mergeCell ref="AS142:AT142"/>
    <mergeCell ref="U143:V143"/>
    <mergeCell ref="W143:X143"/>
    <mergeCell ref="Y143:Z143"/>
    <mergeCell ref="AA143:AB143"/>
    <mergeCell ref="AC143:AD143"/>
    <mergeCell ref="AQ145:AR145"/>
    <mergeCell ref="AS145:AT145"/>
    <mergeCell ref="U146:V146"/>
    <mergeCell ref="W146:X146"/>
    <mergeCell ref="Y146:Z146"/>
    <mergeCell ref="AA146:AB146"/>
    <mergeCell ref="AC146:AD146"/>
    <mergeCell ref="AE146:AF146"/>
    <mergeCell ref="AG146:AH146"/>
    <mergeCell ref="AI146:AJ146"/>
    <mergeCell ref="AE145:AF145"/>
    <mergeCell ref="AG145:AH145"/>
    <mergeCell ref="AI145:AJ145"/>
    <mergeCell ref="AK145:AL145"/>
    <mergeCell ref="AM145:AN145"/>
    <mergeCell ref="AO145:AP145"/>
    <mergeCell ref="AK144:AL144"/>
    <mergeCell ref="AM144:AN144"/>
    <mergeCell ref="AO144:AP144"/>
    <mergeCell ref="AQ144:AR144"/>
    <mergeCell ref="AS144:AT144"/>
    <mergeCell ref="U145:V145"/>
    <mergeCell ref="W145:X145"/>
    <mergeCell ref="Y145:Z145"/>
    <mergeCell ref="AA145:AB145"/>
    <mergeCell ref="AC145:AD145"/>
    <mergeCell ref="AQ147:AR147"/>
    <mergeCell ref="AS147:AT147"/>
    <mergeCell ref="U148:V148"/>
    <mergeCell ref="W148:X148"/>
    <mergeCell ref="Y148:Z148"/>
    <mergeCell ref="AA148:AB148"/>
    <mergeCell ref="AC148:AD148"/>
    <mergeCell ref="AE148:AF148"/>
    <mergeCell ref="AG148:AH148"/>
    <mergeCell ref="AI148:AJ148"/>
    <mergeCell ref="AE147:AF147"/>
    <mergeCell ref="AG147:AH147"/>
    <mergeCell ref="AI147:AJ147"/>
    <mergeCell ref="AK147:AL147"/>
    <mergeCell ref="AM147:AN147"/>
    <mergeCell ref="AO147:AP147"/>
    <mergeCell ref="AK146:AL146"/>
    <mergeCell ref="AM146:AN146"/>
    <mergeCell ref="AO146:AP146"/>
    <mergeCell ref="AQ146:AR146"/>
    <mergeCell ref="AS146:AT146"/>
    <mergeCell ref="U147:V147"/>
    <mergeCell ref="W147:X147"/>
    <mergeCell ref="Y147:Z147"/>
    <mergeCell ref="AA147:AB147"/>
    <mergeCell ref="AC147:AD147"/>
    <mergeCell ref="AQ149:AR149"/>
    <mergeCell ref="AS149:AT149"/>
    <mergeCell ref="U150:V150"/>
    <mergeCell ref="W150:X150"/>
    <mergeCell ref="Y150:Z150"/>
    <mergeCell ref="AA150:AB150"/>
    <mergeCell ref="AC150:AD150"/>
    <mergeCell ref="AE150:AF150"/>
    <mergeCell ref="AG150:AH150"/>
    <mergeCell ref="AI150:AJ150"/>
    <mergeCell ref="AE149:AF149"/>
    <mergeCell ref="AG149:AH149"/>
    <mergeCell ref="AI149:AJ149"/>
    <mergeCell ref="AK149:AL149"/>
    <mergeCell ref="AM149:AN149"/>
    <mergeCell ref="AO149:AP149"/>
    <mergeCell ref="AK148:AL148"/>
    <mergeCell ref="AM148:AN148"/>
    <mergeCell ref="AO148:AP148"/>
    <mergeCell ref="AQ148:AR148"/>
    <mergeCell ref="AS148:AT148"/>
    <mergeCell ref="U149:V149"/>
    <mergeCell ref="W149:X149"/>
    <mergeCell ref="Y149:Z149"/>
    <mergeCell ref="AA149:AB149"/>
    <mergeCell ref="AC149:AD149"/>
    <mergeCell ref="AQ151:AR151"/>
    <mergeCell ref="AS151:AT151"/>
    <mergeCell ref="U152:V152"/>
    <mergeCell ref="W152:X152"/>
    <mergeCell ref="Y152:Z152"/>
    <mergeCell ref="AA152:AB152"/>
    <mergeCell ref="AC152:AD152"/>
    <mergeCell ref="AE152:AF152"/>
    <mergeCell ref="AG152:AH152"/>
    <mergeCell ref="AI152:AJ152"/>
    <mergeCell ref="AE151:AF151"/>
    <mergeCell ref="AG151:AH151"/>
    <mergeCell ref="AI151:AJ151"/>
    <mergeCell ref="AK151:AL151"/>
    <mergeCell ref="AM151:AN151"/>
    <mergeCell ref="AO151:AP151"/>
    <mergeCell ref="AK150:AL150"/>
    <mergeCell ref="AM150:AN150"/>
    <mergeCell ref="AO150:AP150"/>
    <mergeCell ref="AQ150:AR150"/>
    <mergeCell ref="AS150:AT150"/>
    <mergeCell ref="U151:V151"/>
    <mergeCell ref="W151:X151"/>
    <mergeCell ref="Y151:Z151"/>
    <mergeCell ref="AA151:AB151"/>
    <mergeCell ref="AC151:AD151"/>
    <mergeCell ref="AQ153:AR153"/>
    <mergeCell ref="AS153:AT153"/>
    <mergeCell ref="U154:V154"/>
    <mergeCell ref="W154:X154"/>
    <mergeCell ref="Y154:Z154"/>
    <mergeCell ref="AA154:AB154"/>
    <mergeCell ref="AC154:AD154"/>
    <mergeCell ref="AE154:AF154"/>
    <mergeCell ref="AG154:AH154"/>
    <mergeCell ref="AI154:AJ154"/>
    <mergeCell ref="AE153:AF153"/>
    <mergeCell ref="AG153:AH153"/>
    <mergeCell ref="AI153:AJ153"/>
    <mergeCell ref="AK153:AL153"/>
    <mergeCell ref="AM153:AN153"/>
    <mergeCell ref="AO153:AP153"/>
    <mergeCell ref="AK152:AL152"/>
    <mergeCell ref="AM152:AN152"/>
    <mergeCell ref="AO152:AP152"/>
    <mergeCell ref="AQ152:AR152"/>
    <mergeCell ref="AS152:AT152"/>
    <mergeCell ref="U153:V153"/>
    <mergeCell ref="W153:X153"/>
    <mergeCell ref="Y153:Z153"/>
    <mergeCell ref="AA153:AB153"/>
    <mergeCell ref="AC153:AD153"/>
    <mergeCell ref="AQ155:AR155"/>
    <mergeCell ref="AS155:AT155"/>
    <mergeCell ref="U156:V156"/>
    <mergeCell ref="W156:X156"/>
    <mergeCell ref="Y156:Z156"/>
    <mergeCell ref="AA156:AB156"/>
    <mergeCell ref="AC156:AD156"/>
    <mergeCell ref="AE156:AF156"/>
    <mergeCell ref="AG156:AH156"/>
    <mergeCell ref="AI156:AJ156"/>
    <mergeCell ref="AE155:AF155"/>
    <mergeCell ref="AG155:AH155"/>
    <mergeCell ref="AI155:AJ155"/>
    <mergeCell ref="AK155:AL155"/>
    <mergeCell ref="AM155:AN155"/>
    <mergeCell ref="AO155:AP155"/>
    <mergeCell ref="AK154:AL154"/>
    <mergeCell ref="AM154:AN154"/>
    <mergeCell ref="AO154:AP154"/>
    <mergeCell ref="AQ154:AR154"/>
    <mergeCell ref="AS154:AT154"/>
    <mergeCell ref="U155:V155"/>
    <mergeCell ref="W155:X155"/>
    <mergeCell ref="Y155:Z155"/>
    <mergeCell ref="AA155:AB155"/>
    <mergeCell ref="AC155:AD155"/>
    <mergeCell ref="AQ157:AR157"/>
    <mergeCell ref="AS157:AT157"/>
    <mergeCell ref="U158:V158"/>
    <mergeCell ref="W158:X158"/>
    <mergeCell ref="Y158:Z158"/>
    <mergeCell ref="AA158:AB158"/>
    <mergeCell ref="AC158:AD158"/>
    <mergeCell ref="AE158:AF158"/>
    <mergeCell ref="AG158:AH158"/>
    <mergeCell ref="AI158:AJ158"/>
    <mergeCell ref="AE157:AF157"/>
    <mergeCell ref="AG157:AH157"/>
    <mergeCell ref="AI157:AJ157"/>
    <mergeCell ref="AK157:AL157"/>
    <mergeCell ref="AM157:AN157"/>
    <mergeCell ref="AO157:AP157"/>
    <mergeCell ref="AK156:AL156"/>
    <mergeCell ref="AM156:AN156"/>
    <mergeCell ref="AO156:AP156"/>
    <mergeCell ref="AQ156:AR156"/>
    <mergeCell ref="AS156:AT156"/>
    <mergeCell ref="U157:V157"/>
    <mergeCell ref="W157:X157"/>
    <mergeCell ref="Y157:Z157"/>
    <mergeCell ref="AA157:AB157"/>
    <mergeCell ref="AC157:AD157"/>
    <mergeCell ref="AQ159:AR159"/>
    <mergeCell ref="AS159:AT159"/>
    <mergeCell ref="U160:V160"/>
    <mergeCell ref="W160:X160"/>
    <mergeCell ref="Y160:Z160"/>
    <mergeCell ref="AA160:AB160"/>
    <mergeCell ref="AC160:AD160"/>
    <mergeCell ref="AE160:AF160"/>
    <mergeCell ref="AG160:AH160"/>
    <mergeCell ref="AI160:AJ160"/>
    <mergeCell ref="AE159:AF159"/>
    <mergeCell ref="AG159:AH159"/>
    <mergeCell ref="AI159:AJ159"/>
    <mergeCell ref="AK159:AL159"/>
    <mergeCell ref="AM159:AN159"/>
    <mergeCell ref="AO159:AP159"/>
    <mergeCell ref="AK158:AL158"/>
    <mergeCell ref="AM158:AN158"/>
    <mergeCell ref="AO158:AP158"/>
    <mergeCell ref="AQ158:AR158"/>
    <mergeCell ref="AS158:AT158"/>
    <mergeCell ref="U159:V159"/>
    <mergeCell ref="W159:X159"/>
    <mergeCell ref="Y159:Z159"/>
    <mergeCell ref="AA159:AB159"/>
    <mergeCell ref="AC159:AD159"/>
    <mergeCell ref="AQ161:AR161"/>
    <mergeCell ref="AS161:AT161"/>
    <mergeCell ref="U162:V162"/>
    <mergeCell ref="W162:X162"/>
    <mergeCell ref="Y162:Z162"/>
    <mergeCell ref="AA162:AB162"/>
    <mergeCell ref="AC162:AD162"/>
    <mergeCell ref="AE162:AF162"/>
    <mergeCell ref="AG162:AH162"/>
    <mergeCell ref="AI162:AJ162"/>
    <mergeCell ref="AE161:AF161"/>
    <mergeCell ref="AG161:AH161"/>
    <mergeCell ref="AI161:AJ161"/>
    <mergeCell ref="AK161:AL161"/>
    <mergeCell ref="AM161:AN161"/>
    <mergeCell ref="AO161:AP161"/>
    <mergeCell ref="AK160:AL160"/>
    <mergeCell ref="AM160:AN160"/>
    <mergeCell ref="AO160:AP160"/>
    <mergeCell ref="AQ160:AR160"/>
    <mergeCell ref="AS160:AT160"/>
    <mergeCell ref="U161:V161"/>
    <mergeCell ref="W161:X161"/>
    <mergeCell ref="Y161:Z161"/>
    <mergeCell ref="AA161:AB161"/>
    <mergeCell ref="AC161:AD161"/>
    <mergeCell ref="AQ163:AR163"/>
    <mergeCell ref="AS163:AT163"/>
    <mergeCell ref="U164:V164"/>
    <mergeCell ref="W164:X164"/>
    <mergeCell ref="Y164:Z164"/>
    <mergeCell ref="AA164:AB164"/>
    <mergeCell ref="AC164:AD164"/>
    <mergeCell ref="AE164:AF164"/>
    <mergeCell ref="AG164:AH164"/>
    <mergeCell ref="AI164:AJ164"/>
    <mergeCell ref="AE163:AF163"/>
    <mergeCell ref="AG163:AH163"/>
    <mergeCell ref="AI163:AJ163"/>
    <mergeCell ref="AK163:AL163"/>
    <mergeCell ref="AM163:AN163"/>
    <mergeCell ref="AO163:AP163"/>
    <mergeCell ref="AK162:AL162"/>
    <mergeCell ref="AM162:AN162"/>
    <mergeCell ref="AO162:AP162"/>
    <mergeCell ref="AQ162:AR162"/>
    <mergeCell ref="AS162:AT162"/>
    <mergeCell ref="U163:V163"/>
    <mergeCell ref="W163:X163"/>
    <mergeCell ref="Y163:Z163"/>
    <mergeCell ref="AA163:AB163"/>
    <mergeCell ref="AC163:AD163"/>
    <mergeCell ref="AQ165:AR165"/>
    <mergeCell ref="AS165:AT165"/>
    <mergeCell ref="U166:V166"/>
    <mergeCell ref="W166:X166"/>
    <mergeCell ref="Y166:Z166"/>
    <mergeCell ref="AA166:AB166"/>
    <mergeCell ref="AC166:AD166"/>
    <mergeCell ref="AE166:AF166"/>
    <mergeCell ref="AG166:AH166"/>
    <mergeCell ref="AI166:AJ166"/>
    <mergeCell ref="AE165:AF165"/>
    <mergeCell ref="AG165:AH165"/>
    <mergeCell ref="AI165:AJ165"/>
    <mergeCell ref="AK165:AL165"/>
    <mergeCell ref="AM165:AN165"/>
    <mergeCell ref="AO165:AP165"/>
    <mergeCell ref="AK164:AL164"/>
    <mergeCell ref="AM164:AN164"/>
    <mergeCell ref="AO164:AP164"/>
    <mergeCell ref="AQ164:AR164"/>
    <mergeCell ref="AS164:AT164"/>
    <mergeCell ref="U165:V165"/>
    <mergeCell ref="W165:X165"/>
    <mergeCell ref="Y165:Z165"/>
    <mergeCell ref="AA165:AB165"/>
    <mergeCell ref="AC165:AD165"/>
    <mergeCell ref="AQ167:AR167"/>
    <mergeCell ref="AS167:AT167"/>
    <mergeCell ref="U168:V168"/>
    <mergeCell ref="W168:X168"/>
    <mergeCell ref="Y168:Z168"/>
    <mergeCell ref="AA168:AB168"/>
    <mergeCell ref="AC168:AD168"/>
    <mergeCell ref="AE168:AF168"/>
    <mergeCell ref="AG168:AH168"/>
    <mergeCell ref="AI168:AJ168"/>
    <mergeCell ref="AE167:AF167"/>
    <mergeCell ref="AG167:AH167"/>
    <mergeCell ref="AI167:AJ167"/>
    <mergeCell ref="AK167:AL167"/>
    <mergeCell ref="AM167:AN167"/>
    <mergeCell ref="AO167:AP167"/>
    <mergeCell ref="AK166:AL166"/>
    <mergeCell ref="AM166:AN166"/>
    <mergeCell ref="AO166:AP166"/>
    <mergeCell ref="AQ166:AR166"/>
    <mergeCell ref="AS166:AT166"/>
    <mergeCell ref="U167:V167"/>
    <mergeCell ref="W167:X167"/>
    <mergeCell ref="Y167:Z167"/>
    <mergeCell ref="AA167:AB167"/>
    <mergeCell ref="AC167:AD167"/>
    <mergeCell ref="AQ169:AR169"/>
    <mergeCell ref="AS169:AT169"/>
    <mergeCell ref="U170:V170"/>
    <mergeCell ref="W170:X170"/>
    <mergeCell ref="Y170:Z170"/>
    <mergeCell ref="AA170:AB170"/>
    <mergeCell ref="AC170:AD170"/>
    <mergeCell ref="AE170:AF170"/>
    <mergeCell ref="AG170:AH170"/>
    <mergeCell ref="AI170:AJ170"/>
    <mergeCell ref="AE169:AF169"/>
    <mergeCell ref="AG169:AH169"/>
    <mergeCell ref="AI169:AJ169"/>
    <mergeCell ref="AK169:AL169"/>
    <mergeCell ref="AM169:AN169"/>
    <mergeCell ref="AO169:AP169"/>
    <mergeCell ref="AK168:AL168"/>
    <mergeCell ref="AM168:AN168"/>
    <mergeCell ref="AO168:AP168"/>
    <mergeCell ref="AQ168:AR168"/>
    <mergeCell ref="AS168:AT168"/>
    <mergeCell ref="U169:V169"/>
    <mergeCell ref="W169:X169"/>
    <mergeCell ref="Y169:Z169"/>
    <mergeCell ref="AA169:AB169"/>
    <mergeCell ref="AC169:AD169"/>
    <mergeCell ref="AQ171:AR171"/>
    <mergeCell ref="AS171:AT171"/>
    <mergeCell ref="U172:V172"/>
    <mergeCell ref="W172:X172"/>
    <mergeCell ref="Y172:Z172"/>
    <mergeCell ref="AA172:AB172"/>
    <mergeCell ref="AC172:AD172"/>
    <mergeCell ref="AE172:AF172"/>
    <mergeCell ref="AG172:AH172"/>
    <mergeCell ref="AI172:AJ172"/>
    <mergeCell ref="AE171:AF171"/>
    <mergeCell ref="AG171:AH171"/>
    <mergeCell ref="AI171:AJ171"/>
    <mergeCell ref="AK171:AL171"/>
    <mergeCell ref="AM171:AN171"/>
    <mergeCell ref="AO171:AP171"/>
    <mergeCell ref="AK170:AL170"/>
    <mergeCell ref="AM170:AN170"/>
    <mergeCell ref="AO170:AP170"/>
    <mergeCell ref="AQ170:AR170"/>
    <mergeCell ref="AS170:AT170"/>
    <mergeCell ref="U171:V171"/>
    <mergeCell ref="W171:X171"/>
    <mergeCell ref="Y171:Z171"/>
    <mergeCell ref="AA171:AB171"/>
    <mergeCell ref="AC171:AD171"/>
    <mergeCell ref="AQ173:AR173"/>
    <mergeCell ref="AS173:AT173"/>
    <mergeCell ref="U174:V174"/>
    <mergeCell ref="W174:X174"/>
    <mergeCell ref="Y174:Z174"/>
    <mergeCell ref="AA174:AB174"/>
    <mergeCell ref="AC174:AD174"/>
    <mergeCell ref="AE174:AF174"/>
    <mergeCell ref="AG174:AH174"/>
    <mergeCell ref="AI174:AJ174"/>
    <mergeCell ref="AE173:AF173"/>
    <mergeCell ref="AG173:AH173"/>
    <mergeCell ref="AI173:AJ173"/>
    <mergeCell ref="AK173:AL173"/>
    <mergeCell ref="AM173:AN173"/>
    <mergeCell ref="AO173:AP173"/>
    <mergeCell ref="AK172:AL172"/>
    <mergeCell ref="AM172:AN172"/>
    <mergeCell ref="AO172:AP172"/>
    <mergeCell ref="AQ172:AR172"/>
    <mergeCell ref="AS172:AT172"/>
    <mergeCell ref="U173:V173"/>
    <mergeCell ref="W173:X173"/>
    <mergeCell ref="Y173:Z173"/>
    <mergeCell ref="AA173:AB173"/>
    <mergeCell ref="AC173:AD173"/>
    <mergeCell ref="AQ175:AR175"/>
    <mergeCell ref="AS175:AT175"/>
    <mergeCell ref="U176:V176"/>
    <mergeCell ref="W176:X176"/>
    <mergeCell ref="Y176:Z176"/>
    <mergeCell ref="AA176:AB176"/>
    <mergeCell ref="AC176:AD176"/>
    <mergeCell ref="AE176:AF176"/>
    <mergeCell ref="AG176:AH176"/>
    <mergeCell ref="AI176:AJ176"/>
    <mergeCell ref="AE175:AF175"/>
    <mergeCell ref="AG175:AH175"/>
    <mergeCell ref="AI175:AJ175"/>
    <mergeCell ref="AK175:AL175"/>
    <mergeCell ref="AM175:AN175"/>
    <mergeCell ref="AO175:AP175"/>
    <mergeCell ref="AK174:AL174"/>
    <mergeCell ref="AM174:AN174"/>
    <mergeCell ref="AO174:AP174"/>
    <mergeCell ref="AQ174:AR174"/>
    <mergeCell ref="AS174:AT174"/>
    <mergeCell ref="U175:V175"/>
    <mergeCell ref="W175:X175"/>
    <mergeCell ref="Y175:Z175"/>
    <mergeCell ref="AA175:AB175"/>
    <mergeCell ref="AC175:AD175"/>
    <mergeCell ref="AQ177:AR177"/>
    <mergeCell ref="AS177:AT177"/>
    <mergeCell ref="U178:V178"/>
    <mergeCell ref="W178:X178"/>
    <mergeCell ref="Y178:Z178"/>
    <mergeCell ref="AA178:AB178"/>
    <mergeCell ref="AC178:AD178"/>
    <mergeCell ref="AE178:AF178"/>
    <mergeCell ref="AG178:AH178"/>
    <mergeCell ref="AI178:AJ178"/>
    <mergeCell ref="AE177:AF177"/>
    <mergeCell ref="AG177:AH177"/>
    <mergeCell ref="AI177:AJ177"/>
    <mergeCell ref="AK177:AL177"/>
    <mergeCell ref="AM177:AN177"/>
    <mergeCell ref="AO177:AP177"/>
    <mergeCell ref="AK176:AL176"/>
    <mergeCell ref="AM176:AN176"/>
    <mergeCell ref="AO176:AP176"/>
    <mergeCell ref="AQ176:AR176"/>
    <mergeCell ref="AS176:AT176"/>
    <mergeCell ref="U177:V177"/>
    <mergeCell ref="W177:X177"/>
    <mergeCell ref="Y177:Z177"/>
    <mergeCell ref="AA177:AB177"/>
    <mergeCell ref="AC177:AD177"/>
    <mergeCell ref="AQ179:AR179"/>
    <mergeCell ref="AS179:AT179"/>
    <mergeCell ref="U180:V180"/>
    <mergeCell ref="W180:X180"/>
    <mergeCell ref="Y180:Z180"/>
    <mergeCell ref="AA180:AB180"/>
    <mergeCell ref="AC180:AD180"/>
    <mergeCell ref="AE180:AF180"/>
    <mergeCell ref="AG180:AH180"/>
    <mergeCell ref="AI180:AJ180"/>
    <mergeCell ref="AE179:AF179"/>
    <mergeCell ref="AG179:AH179"/>
    <mergeCell ref="AI179:AJ179"/>
    <mergeCell ref="AK179:AL179"/>
    <mergeCell ref="AM179:AN179"/>
    <mergeCell ref="AO179:AP179"/>
    <mergeCell ref="AK178:AL178"/>
    <mergeCell ref="AM178:AN178"/>
    <mergeCell ref="AO178:AP178"/>
    <mergeCell ref="AQ178:AR178"/>
    <mergeCell ref="AS178:AT178"/>
    <mergeCell ref="U179:V179"/>
    <mergeCell ref="W179:X179"/>
    <mergeCell ref="Y179:Z179"/>
    <mergeCell ref="AA179:AB179"/>
    <mergeCell ref="AC179:AD179"/>
    <mergeCell ref="AQ181:AR181"/>
    <mergeCell ref="AS181:AT181"/>
    <mergeCell ref="U182:V182"/>
    <mergeCell ref="W182:X182"/>
    <mergeCell ref="Y182:Z182"/>
    <mergeCell ref="AA182:AB182"/>
    <mergeCell ref="AC182:AD182"/>
    <mergeCell ref="AE182:AF182"/>
    <mergeCell ref="AG182:AH182"/>
    <mergeCell ref="AI182:AJ182"/>
    <mergeCell ref="AE181:AF181"/>
    <mergeCell ref="AG181:AH181"/>
    <mergeCell ref="AI181:AJ181"/>
    <mergeCell ref="AK181:AL181"/>
    <mergeCell ref="AM181:AN181"/>
    <mergeCell ref="AO181:AP181"/>
    <mergeCell ref="AK180:AL180"/>
    <mergeCell ref="AM180:AN180"/>
    <mergeCell ref="AO180:AP180"/>
    <mergeCell ref="AQ180:AR180"/>
    <mergeCell ref="AS180:AT180"/>
    <mergeCell ref="U181:V181"/>
    <mergeCell ref="W181:X181"/>
    <mergeCell ref="Y181:Z181"/>
    <mergeCell ref="AA181:AB181"/>
    <mergeCell ref="AC181:AD181"/>
    <mergeCell ref="AQ183:AR183"/>
    <mergeCell ref="AS183:AT183"/>
    <mergeCell ref="U184:V184"/>
    <mergeCell ref="W184:X184"/>
    <mergeCell ref="Y184:Z184"/>
    <mergeCell ref="AA184:AB184"/>
    <mergeCell ref="AC184:AD184"/>
    <mergeCell ref="AE184:AF184"/>
    <mergeCell ref="AG184:AH184"/>
    <mergeCell ref="AI184:AJ184"/>
    <mergeCell ref="AE183:AF183"/>
    <mergeCell ref="AG183:AH183"/>
    <mergeCell ref="AI183:AJ183"/>
    <mergeCell ref="AK183:AL183"/>
    <mergeCell ref="AM183:AN183"/>
    <mergeCell ref="AO183:AP183"/>
    <mergeCell ref="AK182:AL182"/>
    <mergeCell ref="AM182:AN182"/>
    <mergeCell ref="AO182:AP182"/>
    <mergeCell ref="AQ182:AR182"/>
    <mergeCell ref="AS182:AT182"/>
    <mergeCell ref="U183:V183"/>
    <mergeCell ref="W183:X183"/>
    <mergeCell ref="Y183:Z183"/>
    <mergeCell ref="AA183:AB183"/>
    <mergeCell ref="AC183:AD183"/>
    <mergeCell ref="AQ185:AR185"/>
    <mergeCell ref="AS185:AT185"/>
    <mergeCell ref="U186:V186"/>
    <mergeCell ref="W186:X186"/>
    <mergeCell ref="Y186:Z186"/>
    <mergeCell ref="AA186:AB186"/>
    <mergeCell ref="AC186:AD186"/>
    <mergeCell ref="AE186:AF186"/>
    <mergeCell ref="AG186:AH186"/>
    <mergeCell ref="AI186:AJ186"/>
    <mergeCell ref="AE185:AF185"/>
    <mergeCell ref="AG185:AH185"/>
    <mergeCell ref="AI185:AJ185"/>
    <mergeCell ref="AK185:AL185"/>
    <mergeCell ref="AM185:AN185"/>
    <mergeCell ref="AO185:AP185"/>
    <mergeCell ref="AK184:AL184"/>
    <mergeCell ref="AM184:AN184"/>
    <mergeCell ref="AO184:AP184"/>
    <mergeCell ref="AQ184:AR184"/>
    <mergeCell ref="AS184:AT184"/>
    <mergeCell ref="U185:V185"/>
    <mergeCell ref="W185:X185"/>
    <mergeCell ref="Y185:Z185"/>
    <mergeCell ref="AA185:AB185"/>
    <mergeCell ref="AC185:AD185"/>
    <mergeCell ref="AQ187:AR187"/>
    <mergeCell ref="AS187:AT187"/>
    <mergeCell ref="U188:V188"/>
    <mergeCell ref="W188:X188"/>
    <mergeCell ref="Y188:Z188"/>
    <mergeCell ref="AA188:AB188"/>
    <mergeCell ref="AC188:AD188"/>
    <mergeCell ref="AE188:AF188"/>
    <mergeCell ref="AG188:AH188"/>
    <mergeCell ref="AI188:AJ188"/>
    <mergeCell ref="AE187:AF187"/>
    <mergeCell ref="AG187:AH187"/>
    <mergeCell ref="AI187:AJ187"/>
    <mergeCell ref="AK187:AL187"/>
    <mergeCell ref="AM187:AN187"/>
    <mergeCell ref="AO187:AP187"/>
    <mergeCell ref="AK186:AL186"/>
    <mergeCell ref="AM186:AN186"/>
    <mergeCell ref="AO186:AP186"/>
    <mergeCell ref="AQ186:AR186"/>
    <mergeCell ref="AS186:AT186"/>
    <mergeCell ref="U187:V187"/>
    <mergeCell ref="W187:X187"/>
    <mergeCell ref="Y187:Z187"/>
    <mergeCell ref="AA187:AB187"/>
    <mergeCell ref="AC187:AD187"/>
    <mergeCell ref="AQ189:AR189"/>
    <mergeCell ref="AS189:AT189"/>
    <mergeCell ref="U190:V190"/>
    <mergeCell ref="W190:X190"/>
    <mergeCell ref="Y190:Z190"/>
    <mergeCell ref="AA190:AB190"/>
    <mergeCell ref="AC190:AD190"/>
    <mergeCell ref="AE190:AF190"/>
    <mergeCell ref="AG190:AH190"/>
    <mergeCell ref="AI190:AJ190"/>
    <mergeCell ref="AE189:AF189"/>
    <mergeCell ref="AG189:AH189"/>
    <mergeCell ref="AI189:AJ189"/>
    <mergeCell ref="AK189:AL189"/>
    <mergeCell ref="AM189:AN189"/>
    <mergeCell ref="AO189:AP189"/>
    <mergeCell ref="AK188:AL188"/>
    <mergeCell ref="AM188:AN188"/>
    <mergeCell ref="AO188:AP188"/>
    <mergeCell ref="AQ188:AR188"/>
    <mergeCell ref="AS188:AT188"/>
    <mergeCell ref="U189:V189"/>
    <mergeCell ref="W189:X189"/>
    <mergeCell ref="Y189:Z189"/>
    <mergeCell ref="AA189:AB189"/>
    <mergeCell ref="AC189:AD189"/>
    <mergeCell ref="AQ191:AR191"/>
    <mergeCell ref="AS191:AT191"/>
    <mergeCell ref="U192:V192"/>
    <mergeCell ref="W192:X192"/>
    <mergeCell ref="Y192:Z192"/>
    <mergeCell ref="AA192:AB192"/>
    <mergeCell ref="AC192:AD192"/>
    <mergeCell ref="AE192:AF192"/>
    <mergeCell ref="AG192:AH192"/>
    <mergeCell ref="AI192:AJ192"/>
    <mergeCell ref="AE191:AF191"/>
    <mergeCell ref="AG191:AH191"/>
    <mergeCell ref="AI191:AJ191"/>
    <mergeCell ref="AK191:AL191"/>
    <mergeCell ref="AM191:AN191"/>
    <mergeCell ref="AO191:AP191"/>
    <mergeCell ref="AK190:AL190"/>
    <mergeCell ref="AM190:AN190"/>
    <mergeCell ref="AO190:AP190"/>
    <mergeCell ref="AQ190:AR190"/>
    <mergeCell ref="AS190:AT190"/>
    <mergeCell ref="U191:V191"/>
    <mergeCell ref="W191:X191"/>
    <mergeCell ref="Y191:Z191"/>
    <mergeCell ref="AA191:AB191"/>
    <mergeCell ref="AC191:AD191"/>
    <mergeCell ref="AQ193:AR193"/>
    <mergeCell ref="AS193:AT193"/>
    <mergeCell ref="U194:V194"/>
    <mergeCell ref="W194:X194"/>
    <mergeCell ref="Y194:Z194"/>
    <mergeCell ref="AA194:AB194"/>
    <mergeCell ref="AC194:AD194"/>
    <mergeCell ref="AE194:AF194"/>
    <mergeCell ref="AG194:AH194"/>
    <mergeCell ref="AI194:AJ194"/>
    <mergeCell ref="AE193:AF193"/>
    <mergeCell ref="AG193:AH193"/>
    <mergeCell ref="AI193:AJ193"/>
    <mergeCell ref="AK193:AL193"/>
    <mergeCell ref="AM193:AN193"/>
    <mergeCell ref="AO193:AP193"/>
    <mergeCell ref="AK192:AL192"/>
    <mergeCell ref="AM192:AN192"/>
    <mergeCell ref="AO192:AP192"/>
    <mergeCell ref="AQ192:AR192"/>
    <mergeCell ref="AS192:AT192"/>
    <mergeCell ref="U193:V193"/>
    <mergeCell ref="W193:X193"/>
    <mergeCell ref="Y193:Z193"/>
    <mergeCell ref="AA193:AB193"/>
    <mergeCell ref="AC193:AD193"/>
    <mergeCell ref="AQ195:AR195"/>
    <mergeCell ref="AS195:AT195"/>
    <mergeCell ref="U196:V196"/>
    <mergeCell ref="W196:X196"/>
    <mergeCell ref="Y196:Z196"/>
    <mergeCell ref="AA196:AB196"/>
    <mergeCell ref="AC196:AD196"/>
    <mergeCell ref="AE196:AF196"/>
    <mergeCell ref="AG196:AH196"/>
    <mergeCell ref="AI196:AJ196"/>
    <mergeCell ref="AE195:AF195"/>
    <mergeCell ref="AG195:AH195"/>
    <mergeCell ref="AI195:AJ195"/>
    <mergeCell ref="AK195:AL195"/>
    <mergeCell ref="AM195:AN195"/>
    <mergeCell ref="AO195:AP195"/>
    <mergeCell ref="AK194:AL194"/>
    <mergeCell ref="AM194:AN194"/>
    <mergeCell ref="AO194:AP194"/>
    <mergeCell ref="AQ194:AR194"/>
    <mergeCell ref="AS194:AT194"/>
    <mergeCell ref="U195:V195"/>
    <mergeCell ref="W195:X195"/>
    <mergeCell ref="Y195:Z195"/>
    <mergeCell ref="AA195:AB195"/>
    <mergeCell ref="AC195:AD195"/>
    <mergeCell ref="AQ197:AR197"/>
    <mergeCell ref="AS197:AT197"/>
    <mergeCell ref="U198:V198"/>
    <mergeCell ref="W198:X198"/>
    <mergeCell ref="Y198:Z198"/>
    <mergeCell ref="AA198:AB198"/>
    <mergeCell ref="AC198:AD198"/>
    <mergeCell ref="AE198:AF198"/>
    <mergeCell ref="AG198:AH198"/>
    <mergeCell ref="AI198:AJ198"/>
    <mergeCell ref="AE197:AF197"/>
    <mergeCell ref="AG197:AH197"/>
    <mergeCell ref="AI197:AJ197"/>
    <mergeCell ref="AK197:AL197"/>
    <mergeCell ref="AM197:AN197"/>
    <mergeCell ref="AO197:AP197"/>
    <mergeCell ref="AK196:AL196"/>
    <mergeCell ref="AM196:AN196"/>
    <mergeCell ref="AO196:AP196"/>
    <mergeCell ref="AQ196:AR196"/>
    <mergeCell ref="AS196:AT196"/>
    <mergeCell ref="U197:V197"/>
    <mergeCell ref="W197:X197"/>
    <mergeCell ref="Y197:Z197"/>
    <mergeCell ref="AA197:AB197"/>
    <mergeCell ref="AC197:AD197"/>
    <mergeCell ref="AQ199:AR199"/>
    <mergeCell ref="AS199:AT199"/>
    <mergeCell ref="U200:V200"/>
    <mergeCell ref="W200:X200"/>
    <mergeCell ref="Y200:Z200"/>
    <mergeCell ref="AA200:AB200"/>
    <mergeCell ref="AC200:AD200"/>
    <mergeCell ref="AE200:AF200"/>
    <mergeCell ref="AG200:AH200"/>
    <mergeCell ref="AI200:AJ200"/>
    <mergeCell ref="AE199:AF199"/>
    <mergeCell ref="AG199:AH199"/>
    <mergeCell ref="AI199:AJ199"/>
    <mergeCell ref="AK199:AL199"/>
    <mergeCell ref="AM199:AN199"/>
    <mergeCell ref="AO199:AP199"/>
    <mergeCell ref="AK198:AL198"/>
    <mergeCell ref="AM198:AN198"/>
    <mergeCell ref="AO198:AP198"/>
    <mergeCell ref="AQ198:AR198"/>
    <mergeCell ref="AS198:AT198"/>
    <mergeCell ref="U199:V199"/>
    <mergeCell ref="W199:X199"/>
    <mergeCell ref="Y199:Z199"/>
    <mergeCell ref="AA199:AB199"/>
    <mergeCell ref="AC199:AD199"/>
    <mergeCell ref="AQ201:AR201"/>
    <mergeCell ref="AS201:AT201"/>
    <mergeCell ref="U202:V202"/>
    <mergeCell ref="W202:X202"/>
    <mergeCell ref="Y202:Z202"/>
    <mergeCell ref="AA202:AB202"/>
    <mergeCell ref="AC202:AD202"/>
    <mergeCell ref="AE202:AF202"/>
    <mergeCell ref="AG202:AH202"/>
    <mergeCell ref="AI202:AJ202"/>
    <mergeCell ref="AE201:AF201"/>
    <mergeCell ref="AG201:AH201"/>
    <mergeCell ref="AI201:AJ201"/>
    <mergeCell ref="AK201:AL201"/>
    <mergeCell ref="AM201:AN201"/>
    <mergeCell ref="AO201:AP201"/>
    <mergeCell ref="AK200:AL200"/>
    <mergeCell ref="AM200:AN200"/>
    <mergeCell ref="AO200:AP200"/>
    <mergeCell ref="AQ200:AR200"/>
    <mergeCell ref="AS200:AT200"/>
    <mergeCell ref="U201:V201"/>
    <mergeCell ref="W201:X201"/>
    <mergeCell ref="Y201:Z201"/>
    <mergeCell ref="AA201:AB201"/>
    <mergeCell ref="AC201:AD201"/>
    <mergeCell ref="AQ203:AR203"/>
    <mergeCell ref="AS203:AT203"/>
    <mergeCell ref="U204:V204"/>
    <mergeCell ref="W204:X204"/>
    <mergeCell ref="Y204:Z204"/>
    <mergeCell ref="AA204:AB204"/>
    <mergeCell ref="AC204:AD204"/>
    <mergeCell ref="AE204:AF204"/>
    <mergeCell ref="AG204:AH204"/>
    <mergeCell ref="AI204:AJ204"/>
    <mergeCell ref="AE203:AF203"/>
    <mergeCell ref="AG203:AH203"/>
    <mergeCell ref="AI203:AJ203"/>
    <mergeCell ref="AK203:AL203"/>
    <mergeCell ref="AM203:AN203"/>
    <mergeCell ref="AO203:AP203"/>
    <mergeCell ref="AK202:AL202"/>
    <mergeCell ref="AM202:AN202"/>
    <mergeCell ref="AO202:AP202"/>
    <mergeCell ref="AQ202:AR202"/>
    <mergeCell ref="AS202:AT202"/>
    <mergeCell ref="U203:V203"/>
    <mergeCell ref="W203:X203"/>
    <mergeCell ref="Y203:Z203"/>
    <mergeCell ref="AA203:AB203"/>
    <mergeCell ref="AC203:AD203"/>
    <mergeCell ref="AQ205:AR205"/>
    <mergeCell ref="AS205:AT205"/>
    <mergeCell ref="U206:V206"/>
    <mergeCell ref="W206:X206"/>
    <mergeCell ref="Y206:Z206"/>
    <mergeCell ref="AA206:AB206"/>
    <mergeCell ref="AC206:AD206"/>
    <mergeCell ref="AE206:AF206"/>
    <mergeCell ref="AG206:AH206"/>
    <mergeCell ref="AI206:AJ206"/>
    <mergeCell ref="AE205:AF205"/>
    <mergeCell ref="AG205:AH205"/>
    <mergeCell ref="AI205:AJ205"/>
    <mergeCell ref="AK205:AL205"/>
    <mergeCell ref="AM205:AN205"/>
    <mergeCell ref="AO205:AP205"/>
    <mergeCell ref="AK204:AL204"/>
    <mergeCell ref="AM204:AN204"/>
    <mergeCell ref="AO204:AP204"/>
    <mergeCell ref="AQ204:AR204"/>
    <mergeCell ref="AS204:AT204"/>
    <mergeCell ref="U205:V205"/>
    <mergeCell ref="W205:X205"/>
    <mergeCell ref="Y205:Z205"/>
    <mergeCell ref="AA205:AB205"/>
    <mergeCell ref="AC205:AD205"/>
    <mergeCell ref="AQ207:AR207"/>
    <mergeCell ref="AS207:AT207"/>
    <mergeCell ref="U208:V208"/>
    <mergeCell ref="W208:X208"/>
    <mergeCell ref="Y208:Z208"/>
    <mergeCell ref="AA208:AB208"/>
    <mergeCell ref="AC208:AD208"/>
    <mergeCell ref="AE208:AF208"/>
    <mergeCell ref="AG208:AH208"/>
    <mergeCell ref="AI208:AJ208"/>
    <mergeCell ref="AE207:AF207"/>
    <mergeCell ref="AG207:AH207"/>
    <mergeCell ref="AI207:AJ207"/>
    <mergeCell ref="AK207:AL207"/>
    <mergeCell ref="AM207:AN207"/>
    <mergeCell ref="AO207:AP207"/>
    <mergeCell ref="AK206:AL206"/>
    <mergeCell ref="AM206:AN206"/>
    <mergeCell ref="AO206:AP206"/>
    <mergeCell ref="AQ206:AR206"/>
    <mergeCell ref="AS206:AT206"/>
    <mergeCell ref="U207:V207"/>
    <mergeCell ref="W207:X207"/>
    <mergeCell ref="Y207:Z207"/>
    <mergeCell ref="AA207:AB207"/>
    <mergeCell ref="AC207:AD207"/>
    <mergeCell ref="AQ209:AR209"/>
    <mergeCell ref="AS209:AT209"/>
    <mergeCell ref="U210:V210"/>
    <mergeCell ref="W210:X210"/>
    <mergeCell ref="Y210:Z210"/>
    <mergeCell ref="AA210:AB210"/>
    <mergeCell ref="AC210:AD210"/>
    <mergeCell ref="AE210:AF210"/>
    <mergeCell ref="AG210:AH210"/>
    <mergeCell ref="AI210:AJ210"/>
    <mergeCell ref="AE209:AF209"/>
    <mergeCell ref="AG209:AH209"/>
    <mergeCell ref="AI209:AJ209"/>
    <mergeCell ref="AK209:AL209"/>
    <mergeCell ref="AM209:AN209"/>
    <mergeCell ref="AO209:AP209"/>
    <mergeCell ref="AK208:AL208"/>
    <mergeCell ref="AM208:AN208"/>
    <mergeCell ref="AO208:AP208"/>
    <mergeCell ref="AQ208:AR208"/>
    <mergeCell ref="AS208:AT208"/>
    <mergeCell ref="U209:V209"/>
    <mergeCell ref="W209:X209"/>
    <mergeCell ref="Y209:Z209"/>
    <mergeCell ref="AA209:AB209"/>
    <mergeCell ref="AC209:AD209"/>
    <mergeCell ref="AQ211:AR211"/>
    <mergeCell ref="AS211:AT211"/>
    <mergeCell ref="U212:V212"/>
    <mergeCell ref="W212:X212"/>
    <mergeCell ref="Y212:Z212"/>
    <mergeCell ref="AA212:AB212"/>
    <mergeCell ref="AC212:AD212"/>
    <mergeCell ref="AE212:AF212"/>
    <mergeCell ref="AG212:AH212"/>
    <mergeCell ref="AI212:AJ212"/>
    <mergeCell ref="AE211:AF211"/>
    <mergeCell ref="AG211:AH211"/>
    <mergeCell ref="AI211:AJ211"/>
    <mergeCell ref="AK211:AL211"/>
    <mergeCell ref="AM211:AN211"/>
    <mergeCell ref="AO211:AP211"/>
    <mergeCell ref="AK210:AL210"/>
    <mergeCell ref="AM210:AN210"/>
    <mergeCell ref="AO210:AP210"/>
    <mergeCell ref="AQ210:AR210"/>
    <mergeCell ref="AS210:AT210"/>
    <mergeCell ref="U211:V211"/>
    <mergeCell ref="W211:X211"/>
    <mergeCell ref="Y211:Z211"/>
    <mergeCell ref="AA211:AB211"/>
    <mergeCell ref="AC211:AD211"/>
    <mergeCell ref="AQ213:AR213"/>
    <mergeCell ref="AS213:AT213"/>
    <mergeCell ref="U214:V214"/>
    <mergeCell ref="W214:X214"/>
    <mergeCell ref="Y214:Z214"/>
    <mergeCell ref="AA214:AB214"/>
    <mergeCell ref="AC214:AD214"/>
    <mergeCell ref="AE214:AF214"/>
    <mergeCell ref="AG214:AH214"/>
    <mergeCell ref="AI214:AJ214"/>
    <mergeCell ref="AE213:AF213"/>
    <mergeCell ref="AG213:AH213"/>
    <mergeCell ref="AI213:AJ213"/>
    <mergeCell ref="AK213:AL213"/>
    <mergeCell ref="AM213:AN213"/>
    <mergeCell ref="AO213:AP213"/>
    <mergeCell ref="AK212:AL212"/>
    <mergeCell ref="AM212:AN212"/>
    <mergeCell ref="AO212:AP212"/>
    <mergeCell ref="AQ212:AR212"/>
    <mergeCell ref="AS212:AT212"/>
    <mergeCell ref="U213:V213"/>
    <mergeCell ref="W213:X213"/>
    <mergeCell ref="Y213:Z213"/>
    <mergeCell ref="AA213:AB213"/>
    <mergeCell ref="AC213:AD213"/>
    <mergeCell ref="AQ215:AR215"/>
    <mergeCell ref="AS215:AT215"/>
    <mergeCell ref="U216:V216"/>
    <mergeCell ref="W216:X216"/>
    <mergeCell ref="Y216:Z216"/>
    <mergeCell ref="AA216:AB216"/>
    <mergeCell ref="AC216:AD216"/>
    <mergeCell ref="AE216:AF216"/>
    <mergeCell ref="AG216:AH216"/>
    <mergeCell ref="AI216:AJ216"/>
    <mergeCell ref="AE215:AF215"/>
    <mergeCell ref="AG215:AH215"/>
    <mergeCell ref="AI215:AJ215"/>
    <mergeCell ref="AK215:AL215"/>
    <mergeCell ref="AM215:AN215"/>
    <mergeCell ref="AO215:AP215"/>
    <mergeCell ref="AK214:AL214"/>
    <mergeCell ref="AM214:AN214"/>
    <mergeCell ref="AO214:AP214"/>
    <mergeCell ref="AQ214:AR214"/>
    <mergeCell ref="AS214:AT214"/>
    <mergeCell ref="U215:V215"/>
    <mergeCell ref="W215:X215"/>
    <mergeCell ref="Y215:Z215"/>
    <mergeCell ref="AA215:AB215"/>
    <mergeCell ref="AC215:AD215"/>
    <mergeCell ref="AQ217:AR217"/>
    <mergeCell ref="AS217:AT217"/>
    <mergeCell ref="U218:V218"/>
    <mergeCell ref="W218:X218"/>
    <mergeCell ref="Y218:Z218"/>
    <mergeCell ref="AA218:AB218"/>
    <mergeCell ref="AC218:AD218"/>
    <mergeCell ref="AE218:AF218"/>
    <mergeCell ref="AG218:AH218"/>
    <mergeCell ref="AI218:AJ218"/>
    <mergeCell ref="AE217:AF217"/>
    <mergeCell ref="AG217:AH217"/>
    <mergeCell ref="AI217:AJ217"/>
    <mergeCell ref="AK217:AL217"/>
    <mergeCell ref="AM217:AN217"/>
    <mergeCell ref="AO217:AP217"/>
    <mergeCell ref="AK216:AL216"/>
    <mergeCell ref="AM216:AN216"/>
    <mergeCell ref="AO216:AP216"/>
    <mergeCell ref="AQ216:AR216"/>
    <mergeCell ref="AS216:AT216"/>
    <mergeCell ref="U217:V217"/>
    <mergeCell ref="W217:X217"/>
    <mergeCell ref="Y217:Z217"/>
    <mergeCell ref="AA217:AB217"/>
    <mergeCell ref="AC217:AD217"/>
    <mergeCell ref="AQ219:AR219"/>
    <mergeCell ref="AS219:AT219"/>
    <mergeCell ref="U220:V220"/>
    <mergeCell ref="W220:X220"/>
    <mergeCell ref="Y220:Z220"/>
    <mergeCell ref="AA220:AB220"/>
    <mergeCell ref="AC220:AD220"/>
    <mergeCell ref="AE220:AF220"/>
    <mergeCell ref="AG220:AH220"/>
    <mergeCell ref="AI220:AJ220"/>
    <mergeCell ref="AE219:AF219"/>
    <mergeCell ref="AG219:AH219"/>
    <mergeCell ref="AI219:AJ219"/>
    <mergeCell ref="AK219:AL219"/>
    <mergeCell ref="AM219:AN219"/>
    <mergeCell ref="AO219:AP219"/>
    <mergeCell ref="AK218:AL218"/>
    <mergeCell ref="AM218:AN218"/>
    <mergeCell ref="AO218:AP218"/>
    <mergeCell ref="AQ218:AR218"/>
    <mergeCell ref="AS218:AT218"/>
    <mergeCell ref="U219:V219"/>
    <mergeCell ref="W219:X219"/>
    <mergeCell ref="Y219:Z219"/>
    <mergeCell ref="AA219:AB219"/>
    <mergeCell ref="AC219:AD219"/>
    <mergeCell ref="AQ221:AR221"/>
    <mergeCell ref="AS221:AT221"/>
    <mergeCell ref="U222:V222"/>
    <mergeCell ref="W222:X222"/>
    <mergeCell ref="Y222:Z222"/>
    <mergeCell ref="AA222:AB222"/>
    <mergeCell ref="AC222:AD222"/>
    <mergeCell ref="AE222:AF222"/>
    <mergeCell ref="AG222:AH222"/>
    <mergeCell ref="AI222:AJ222"/>
    <mergeCell ref="AE221:AF221"/>
    <mergeCell ref="AG221:AH221"/>
    <mergeCell ref="AI221:AJ221"/>
    <mergeCell ref="AK221:AL221"/>
    <mergeCell ref="AM221:AN221"/>
    <mergeCell ref="AO221:AP221"/>
    <mergeCell ref="AK220:AL220"/>
    <mergeCell ref="AM220:AN220"/>
    <mergeCell ref="AO220:AP220"/>
    <mergeCell ref="AQ220:AR220"/>
    <mergeCell ref="AS220:AT220"/>
    <mergeCell ref="U221:V221"/>
    <mergeCell ref="W221:X221"/>
    <mergeCell ref="Y221:Z221"/>
    <mergeCell ref="AA221:AB221"/>
    <mergeCell ref="AC221:AD221"/>
    <mergeCell ref="AQ223:AR223"/>
    <mergeCell ref="AS223:AT223"/>
    <mergeCell ref="U224:V224"/>
    <mergeCell ref="W224:X224"/>
    <mergeCell ref="Y224:Z224"/>
    <mergeCell ref="AA224:AB224"/>
    <mergeCell ref="AC224:AD224"/>
    <mergeCell ref="AE224:AF224"/>
    <mergeCell ref="AG224:AH224"/>
    <mergeCell ref="AI224:AJ224"/>
    <mergeCell ref="AE223:AF223"/>
    <mergeCell ref="AG223:AH223"/>
    <mergeCell ref="AI223:AJ223"/>
    <mergeCell ref="AK223:AL223"/>
    <mergeCell ref="AM223:AN223"/>
    <mergeCell ref="AO223:AP223"/>
    <mergeCell ref="AK222:AL222"/>
    <mergeCell ref="AM222:AN222"/>
    <mergeCell ref="AO222:AP222"/>
    <mergeCell ref="AQ222:AR222"/>
    <mergeCell ref="AS222:AT222"/>
    <mergeCell ref="U223:V223"/>
    <mergeCell ref="W223:X223"/>
    <mergeCell ref="Y223:Z223"/>
    <mergeCell ref="AA223:AB223"/>
    <mergeCell ref="AC223:AD223"/>
    <mergeCell ref="AQ225:AR225"/>
    <mergeCell ref="AS225:AT225"/>
    <mergeCell ref="U226:V226"/>
    <mergeCell ref="W226:X226"/>
    <mergeCell ref="Y226:Z226"/>
    <mergeCell ref="AA226:AB226"/>
    <mergeCell ref="AC226:AD226"/>
    <mergeCell ref="AE226:AF226"/>
    <mergeCell ref="AG226:AH226"/>
    <mergeCell ref="AI226:AJ226"/>
    <mergeCell ref="AE225:AF225"/>
    <mergeCell ref="AG225:AH225"/>
    <mergeCell ref="AI225:AJ225"/>
    <mergeCell ref="AK225:AL225"/>
    <mergeCell ref="AM225:AN225"/>
    <mergeCell ref="AO225:AP225"/>
    <mergeCell ref="AK224:AL224"/>
    <mergeCell ref="AM224:AN224"/>
    <mergeCell ref="AO224:AP224"/>
    <mergeCell ref="AQ224:AR224"/>
    <mergeCell ref="AS224:AT224"/>
    <mergeCell ref="U225:V225"/>
    <mergeCell ref="W225:X225"/>
    <mergeCell ref="Y225:Z225"/>
    <mergeCell ref="AA225:AB225"/>
    <mergeCell ref="AC225:AD225"/>
    <mergeCell ref="AQ227:AR227"/>
    <mergeCell ref="AS227:AT227"/>
    <mergeCell ref="U228:V228"/>
    <mergeCell ref="W228:X228"/>
    <mergeCell ref="Y228:Z228"/>
    <mergeCell ref="AA228:AB228"/>
    <mergeCell ref="AC228:AD228"/>
    <mergeCell ref="AE228:AF228"/>
    <mergeCell ref="AG228:AH228"/>
    <mergeCell ref="AI228:AJ228"/>
    <mergeCell ref="AE227:AF227"/>
    <mergeCell ref="AG227:AH227"/>
    <mergeCell ref="AI227:AJ227"/>
    <mergeCell ref="AK227:AL227"/>
    <mergeCell ref="AM227:AN227"/>
    <mergeCell ref="AO227:AP227"/>
    <mergeCell ref="AK226:AL226"/>
    <mergeCell ref="AM226:AN226"/>
    <mergeCell ref="AO226:AP226"/>
    <mergeCell ref="AQ226:AR226"/>
    <mergeCell ref="AS226:AT226"/>
    <mergeCell ref="U227:V227"/>
    <mergeCell ref="W227:X227"/>
    <mergeCell ref="Y227:Z227"/>
    <mergeCell ref="AA227:AB227"/>
    <mergeCell ref="AC227:AD227"/>
    <mergeCell ref="AQ229:AR229"/>
    <mergeCell ref="AS229:AT229"/>
    <mergeCell ref="U230:V230"/>
    <mergeCell ref="W230:X230"/>
    <mergeCell ref="Y230:Z230"/>
    <mergeCell ref="AA230:AB230"/>
    <mergeCell ref="AC230:AD230"/>
    <mergeCell ref="AE230:AF230"/>
    <mergeCell ref="AG230:AH230"/>
    <mergeCell ref="AI230:AJ230"/>
    <mergeCell ref="AE229:AF229"/>
    <mergeCell ref="AG229:AH229"/>
    <mergeCell ref="AI229:AJ229"/>
    <mergeCell ref="AK229:AL229"/>
    <mergeCell ref="AM229:AN229"/>
    <mergeCell ref="AO229:AP229"/>
    <mergeCell ref="AK228:AL228"/>
    <mergeCell ref="AM228:AN228"/>
    <mergeCell ref="AO228:AP228"/>
    <mergeCell ref="AQ228:AR228"/>
    <mergeCell ref="AS228:AT228"/>
    <mergeCell ref="U229:V229"/>
    <mergeCell ref="W229:X229"/>
    <mergeCell ref="Y229:Z229"/>
    <mergeCell ref="AA229:AB229"/>
    <mergeCell ref="AC229:AD229"/>
    <mergeCell ref="AQ231:AR231"/>
    <mergeCell ref="AS231:AT231"/>
    <mergeCell ref="U232:V232"/>
    <mergeCell ref="W232:X232"/>
    <mergeCell ref="Y232:Z232"/>
    <mergeCell ref="AA232:AB232"/>
    <mergeCell ref="AC232:AD232"/>
    <mergeCell ref="AE232:AF232"/>
    <mergeCell ref="AG232:AH232"/>
    <mergeCell ref="AI232:AJ232"/>
    <mergeCell ref="AE231:AF231"/>
    <mergeCell ref="AG231:AH231"/>
    <mergeCell ref="AI231:AJ231"/>
    <mergeCell ref="AK231:AL231"/>
    <mergeCell ref="AM231:AN231"/>
    <mergeCell ref="AO231:AP231"/>
    <mergeCell ref="AK230:AL230"/>
    <mergeCell ref="AM230:AN230"/>
    <mergeCell ref="AO230:AP230"/>
    <mergeCell ref="AQ230:AR230"/>
    <mergeCell ref="AS230:AT230"/>
    <mergeCell ref="U231:V231"/>
    <mergeCell ref="W231:X231"/>
    <mergeCell ref="Y231:Z231"/>
    <mergeCell ref="AA231:AB231"/>
    <mergeCell ref="AC231:AD231"/>
    <mergeCell ref="AQ233:AR233"/>
    <mergeCell ref="AS233:AT233"/>
    <mergeCell ref="U234:V234"/>
    <mergeCell ref="W234:X234"/>
    <mergeCell ref="Y234:Z234"/>
    <mergeCell ref="AA234:AB234"/>
    <mergeCell ref="AC234:AD234"/>
    <mergeCell ref="AE234:AF234"/>
    <mergeCell ref="AG234:AH234"/>
    <mergeCell ref="AI234:AJ234"/>
    <mergeCell ref="AE233:AF233"/>
    <mergeCell ref="AG233:AH233"/>
    <mergeCell ref="AI233:AJ233"/>
    <mergeCell ref="AK233:AL233"/>
    <mergeCell ref="AM233:AN233"/>
    <mergeCell ref="AO233:AP233"/>
    <mergeCell ref="AK232:AL232"/>
    <mergeCell ref="AM232:AN232"/>
    <mergeCell ref="AO232:AP232"/>
    <mergeCell ref="AQ232:AR232"/>
    <mergeCell ref="AS232:AT232"/>
    <mergeCell ref="U233:V233"/>
    <mergeCell ref="W233:X233"/>
    <mergeCell ref="Y233:Z233"/>
    <mergeCell ref="AA233:AB233"/>
    <mergeCell ref="AC233:AD233"/>
    <mergeCell ref="AQ235:AR235"/>
    <mergeCell ref="AS235:AT235"/>
    <mergeCell ref="U236:V236"/>
    <mergeCell ref="W236:X236"/>
    <mergeCell ref="Y236:Z236"/>
    <mergeCell ref="AA236:AB236"/>
    <mergeCell ref="AC236:AD236"/>
    <mergeCell ref="AE236:AF236"/>
    <mergeCell ref="AG236:AH236"/>
    <mergeCell ref="AI236:AJ236"/>
    <mergeCell ref="AE235:AF235"/>
    <mergeCell ref="AG235:AH235"/>
    <mergeCell ref="AI235:AJ235"/>
    <mergeCell ref="AK235:AL235"/>
    <mergeCell ref="AM235:AN235"/>
    <mergeCell ref="AO235:AP235"/>
    <mergeCell ref="AK234:AL234"/>
    <mergeCell ref="AM234:AN234"/>
    <mergeCell ref="AO234:AP234"/>
    <mergeCell ref="AQ234:AR234"/>
    <mergeCell ref="AS234:AT234"/>
    <mergeCell ref="U235:V235"/>
    <mergeCell ref="W235:X235"/>
    <mergeCell ref="Y235:Z235"/>
    <mergeCell ref="AA235:AB235"/>
    <mergeCell ref="AC235:AD235"/>
    <mergeCell ref="AQ237:AR237"/>
    <mergeCell ref="AS237:AT237"/>
    <mergeCell ref="U238:V238"/>
    <mergeCell ref="W238:X238"/>
    <mergeCell ref="Y238:Z238"/>
    <mergeCell ref="AA238:AB238"/>
    <mergeCell ref="AC238:AD238"/>
    <mergeCell ref="AE238:AF238"/>
    <mergeCell ref="AG238:AH238"/>
    <mergeCell ref="AI238:AJ238"/>
    <mergeCell ref="AE237:AF237"/>
    <mergeCell ref="AG237:AH237"/>
    <mergeCell ref="AI237:AJ237"/>
    <mergeCell ref="AK237:AL237"/>
    <mergeCell ref="AM237:AN237"/>
    <mergeCell ref="AO237:AP237"/>
    <mergeCell ref="AK236:AL236"/>
    <mergeCell ref="AM236:AN236"/>
    <mergeCell ref="AO236:AP236"/>
    <mergeCell ref="AQ236:AR236"/>
    <mergeCell ref="AS236:AT236"/>
    <mergeCell ref="U237:V237"/>
    <mergeCell ref="W237:X237"/>
    <mergeCell ref="Y237:Z237"/>
    <mergeCell ref="AA237:AB237"/>
    <mergeCell ref="AC237:AD237"/>
    <mergeCell ref="AQ239:AR239"/>
    <mergeCell ref="AS239:AT239"/>
    <mergeCell ref="U240:V240"/>
    <mergeCell ref="W240:X240"/>
    <mergeCell ref="Y240:Z240"/>
    <mergeCell ref="AA240:AB240"/>
    <mergeCell ref="AC240:AD240"/>
    <mergeCell ref="AE240:AF240"/>
    <mergeCell ref="AG240:AH240"/>
    <mergeCell ref="AI240:AJ240"/>
    <mergeCell ref="AE239:AF239"/>
    <mergeCell ref="AG239:AH239"/>
    <mergeCell ref="AI239:AJ239"/>
    <mergeCell ref="AK239:AL239"/>
    <mergeCell ref="AM239:AN239"/>
    <mergeCell ref="AO239:AP239"/>
    <mergeCell ref="AK238:AL238"/>
    <mergeCell ref="AM238:AN238"/>
    <mergeCell ref="AO238:AP238"/>
    <mergeCell ref="AQ238:AR238"/>
    <mergeCell ref="AS238:AT238"/>
    <mergeCell ref="U239:V239"/>
    <mergeCell ref="W239:X239"/>
    <mergeCell ref="Y239:Z239"/>
    <mergeCell ref="AA239:AB239"/>
    <mergeCell ref="AC239:AD239"/>
    <mergeCell ref="AQ241:AR241"/>
    <mergeCell ref="AS241:AT241"/>
    <mergeCell ref="U242:V242"/>
    <mergeCell ref="W242:X242"/>
    <mergeCell ref="Y242:Z242"/>
    <mergeCell ref="AA242:AB242"/>
    <mergeCell ref="AC242:AD242"/>
    <mergeCell ref="AE242:AF242"/>
    <mergeCell ref="AG242:AH242"/>
    <mergeCell ref="AI242:AJ242"/>
    <mergeCell ref="AE241:AF241"/>
    <mergeCell ref="AG241:AH241"/>
    <mergeCell ref="AI241:AJ241"/>
    <mergeCell ref="AK241:AL241"/>
    <mergeCell ref="AM241:AN241"/>
    <mergeCell ref="AO241:AP241"/>
    <mergeCell ref="AK240:AL240"/>
    <mergeCell ref="AM240:AN240"/>
    <mergeCell ref="AO240:AP240"/>
    <mergeCell ref="AQ240:AR240"/>
    <mergeCell ref="AS240:AT240"/>
    <mergeCell ref="U241:V241"/>
    <mergeCell ref="W241:X241"/>
    <mergeCell ref="Y241:Z241"/>
    <mergeCell ref="AA241:AB241"/>
    <mergeCell ref="AC241:AD241"/>
    <mergeCell ref="AQ243:AR243"/>
    <mergeCell ref="AS243:AT243"/>
    <mergeCell ref="U244:V244"/>
    <mergeCell ref="W244:X244"/>
    <mergeCell ref="Y244:Z244"/>
    <mergeCell ref="AA244:AB244"/>
    <mergeCell ref="AC244:AD244"/>
    <mergeCell ref="AE244:AF244"/>
    <mergeCell ref="AG244:AH244"/>
    <mergeCell ref="AI244:AJ244"/>
    <mergeCell ref="AE243:AF243"/>
    <mergeCell ref="AG243:AH243"/>
    <mergeCell ref="AI243:AJ243"/>
    <mergeCell ref="AK243:AL243"/>
    <mergeCell ref="AM243:AN243"/>
    <mergeCell ref="AO243:AP243"/>
    <mergeCell ref="AK242:AL242"/>
    <mergeCell ref="AM242:AN242"/>
    <mergeCell ref="AO242:AP242"/>
    <mergeCell ref="AQ242:AR242"/>
    <mergeCell ref="AS242:AT242"/>
    <mergeCell ref="U243:V243"/>
    <mergeCell ref="W243:X243"/>
    <mergeCell ref="Y243:Z243"/>
    <mergeCell ref="AA243:AB243"/>
    <mergeCell ref="AC243:AD243"/>
    <mergeCell ref="AQ245:AR245"/>
    <mergeCell ref="AS245:AT245"/>
    <mergeCell ref="U246:V246"/>
    <mergeCell ref="W246:X246"/>
    <mergeCell ref="Y246:Z246"/>
    <mergeCell ref="AA246:AB246"/>
    <mergeCell ref="AC246:AD246"/>
    <mergeCell ref="AE246:AF246"/>
    <mergeCell ref="AG246:AH246"/>
    <mergeCell ref="AI246:AJ246"/>
    <mergeCell ref="AE245:AF245"/>
    <mergeCell ref="AG245:AH245"/>
    <mergeCell ref="AI245:AJ245"/>
    <mergeCell ref="AK245:AL245"/>
    <mergeCell ref="AM245:AN245"/>
    <mergeCell ref="AO245:AP245"/>
    <mergeCell ref="AK244:AL244"/>
    <mergeCell ref="AM244:AN244"/>
    <mergeCell ref="AO244:AP244"/>
    <mergeCell ref="AQ244:AR244"/>
    <mergeCell ref="AS244:AT244"/>
    <mergeCell ref="U245:V245"/>
    <mergeCell ref="W245:X245"/>
    <mergeCell ref="Y245:Z245"/>
    <mergeCell ref="AA245:AB245"/>
    <mergeCell ref="AC245:AD245"/>
    <mergeCell ref="AQ247:AR247"/>
    <mergeCell ref="AS247:AT247"/>
    <mergeCell ref="U248:V248"/>
    <mergeCell ref="W248:X248"/>
    <mergeCell ref="Y248:Z248"/>
    <mergeCell ref="AA248:AB248"/>
    <mergeCell ref="AC248:AD248"/>
    <mergeCell ref="AE248:AF248"/>
    <mergeCell ref="AG248:AH248"/>
    <mergeCell ref="AI248:AJ248"/>
    <mergeCell ref="AE247:AF247"/>
    <mergeCell ref="AG247:AH247"/>
    <mergeCell ref="AI247:AJ247"/>
    <mergeCell ref="AK247:AL247"/>
    <mergeCell ref="AM247:AN247"/>
    <mergeCell ref="AO247:AP247"/>
    <mergeCell ref="AK246:AL246"/>
    <mergeCell ref="AM246:AN246"/>
    <mergeCell ref="AO246:AP246"/>
    <mergeCell ref="AQ246:AR246"/>
    <mergeCell ref="AS246:AT246"/>
    <mergeCell ref="U247:V247"/>
    <mergeCell ref="W247:X247"/>
    <mergeCell ref="Y247:Z247"/>
    <mergeCell ref="AA247:AB247"/>
    <mergeCell ref="AC247:AD247"/>
    <mergeCell ref="AQ249:AR249"/>
    <mergeCell ref="AS249:AT249"/>
    <mergeCell ref="U250:V250"/>
    <mergeCell ref="W250:X250"/>
    <mergeCell ref="Y250:Z250"/>
    <mergeCell ref="AA250:AB250"/>
    <mergeCell ref="AC250:AD250"/>
    <mergeCell ref="AE250:AF250"/>
    <mergeCell ref="AG250:AH250"/>
    <mergeCell ref="AI250:AJ250"/>
    <mergeCell ref="AE249:AF249"/>
    <mergeCell ref="AG249:AH249"/>
    <mergeCell ref="AI249:AJ249"/>
    <mergeCell ref="AK249:AL249"/>
    <mergeCell ref="AM249:AN249"/>
    <mergeCell ref="AO249:AP249"/>
    <mergeCell ref="AK248:AL248"/>
    <mergeCell ref="AM248:AN248"/>
    <mergeCell ref="AO248:AP248"/>
    <mergeCell ref="AQ248:AR248"/>
    <mergeCell ref="AS248:AT248"/>
    <mergeCell ref="U249:V249"/>
    <mergeCell ref="W249:X249"/>
    <mergeCell ref="Y249:Z249"/>
    <mergeCell ref="AA249:AB249"/>
    <mergeCell ref="AC249:AD249"/>
    <mergeCell ref="AQ251:AR251"/>
    <mergeCell ref="AS251:AT251"/>
    <mergeCell ref="U252:V252"/>
    <mergeCell ref="W252:X252"/>
    <mergeCell ref="Y252:Z252"/>
    <mergeCell ref="AA252:AB252"/>
    <mergeCell ref="AC252:AD252"/>
    <mergeCell ref="AE252:AF252"/>
    <mergeCell ref="AG252:AH252"/>
    <mergeCell ref="AI252:AJ252"/>
    <mergeCell ref="AE251:AF251"/>
    <mergeCell ref="AG251:AH251"/>
    <mergeCell ref="AI251:AJ251"/>
    <mergeCell ref="AK251:AL251"/>
    <mergeCell ref="AM251:AN251"/>
    <mergeCell ref="AO251:AP251"/>
    <mergeCell ref="AK250:AL250"/>
    <mergeCell ref="AM250:AN250"/>
    <mergeCell ref="AO250:AP250"/>
    <mergeCell ref="AQ250:AR250"/>
    <mergeCell ref="AS250:AT250"/>
    <mergeCell ref="U251:V251"/>
    <mergeCell ref="W251:X251"/>
    <mergeCell ref="Y251:Z251"/>
    <mergeCell ref="AA251:AB251"/>
    <mergeCell ref="AC251:AD251"/>
    <mergeCell ref="AQ253:AR253"/>
    <mergeCell ref="AS253:AT253"/>
    <mergeCell ref="U254:V254"/>
    <mergeCell ref="W254:X254"/>
    <mergeCell ref="Y254:Z254"/>
    <mergeCell ref="AA254:AB254"/>
    <mergeCell ref="AC254:AD254"/>
    <mergeCell ref="AE254:AF254"/>
    <mergeCell ref="AG254:AH254"/>
    <mergeCell ref="AI254:AJ254"/>
    <mergeCell ref="AE253:AF253"/>
    <mergeCell ref="AG253:AH253"/>
    <mergeCell ref="AI253:AJ253"/>
    <mergeCell ref="AK253:AL253"/>
    <mergeCell ref="AM253:AN253"/>
    <mergeCell ref="AO253:AP253"/>
    <mergeCell ref="AK252:AL252"/>
    <mergeCell ref="AM252:AN252"/>
    <mergeCell ref="AO252:AP252"/>
    <mergeCell ref="AQ252:AR252"/>
    <mergeCell ref="AS252:AT252"/>
    <mergeCell ref="U253:V253"/>
    <mergeCell ref="W253:X253"/>
    <mergeCell ref="Y253:Z253"/>
    <mergeCell ref="AA253:AB253"/>
    <mergeCell ref="AC253:AD253"/>
    <mergeCell ref="AQ255:AR255"/>
    <mergeCell ref="AS255:AT255"/>
    <mergeCell ref="U256:V256"/>
    <mergeCell ref="W256:X256"/>
    <mergeCell ref="Y256:Z256"/>
    <mergeCell ref="AA256:AB256"/>
    <mergeCell ref="AC256:AD256"/>
    <mergeCell ref="AE256:AF256"/>
    <mergeCell ref="AG256:AH256"/>
    <mergeCell ref="AI256:AJ256"/>
    <mergeCell ref="AE255:AF255"/>
    <mergeCell ref="AG255:AH255"/>
    <mergeCell ref="AI255:AJ255"/>
    <mergeCell ref="AK255:AL255"/>
    <mergeCell ref="AM255:AN255"/>
    <mergeCell ref="AO255:AP255"/>
    <mergeCell ref="AK254:AL254"/>
    <mergeCell ref="AM254:AN254"/>
    <mergeCell ref="AO254:AP254"/>
    <mergeCell ref="AQ254:AR254"/>
    <mergeCell ref="AS254:AT254"/>
    <mergeCell ref="U255:V255"/>
    <mergeCell ref="W255:X255"/>
    <mergeCell ref="Y255:Z255"/>
    <mergeCell ref="AA255:AB255"/>
    <mergeCell ref="AC255:AD255"/>
    <mergeCell ref="AQ257:AR257"/>
    <mergeCell ref="AS257:AT257"/>
    <mergeCell ref="U258:V258"/>
    <mergeCell ref="W258:X258"/>
    <mergeCell ref="Y258:Z258"/>
    <mergeCell ref="AA258:AB258"/>
    <mergeCell ref="AC258:AD258"/>
    <mergeCell ref="AE258:AF258"/>
    <mergeCell ref="AG258:AH258"/>
    <mergeCell ref="AI258:AJ258"/>
    <mergeCell ref="AE257:AF257"/>
    <mergeCell ref="AG257:AH257"/>
    <mergeCell ref="AI257:AJ257"/>
    <mergeCell ref="AK257:AL257"/>
    <mergeCell ref="AM257:AN257"/>
    <mergeCell ref="AO257:AP257"/>
    <mergeCell ref="AK256:AL256"/>
    <mergeCell ref="AM256:AN256"/>
    <mergeCell ref="AO256:AP256"/>
    <mergeCell ref="AQ256:AR256"/>
    <mergeCell ref="AS256:AT256"/>
    <mergeCell ref="U257:V257"/>
    <mergeCell ref="W257:X257"/>
    <mergeCell ref="Y257:Z257"/>
    <mergeCell ref="AA257:AB257"/>
    <mergeCell ref="AC257:AD257"/>
    <mergeCell ref="AQ259:AR259"/>
    <mergeCell ref="AS259:AT259"/>
    <mergeCell ref="U260:V260"/>
    <mergeCell ref="W260:X260"/>
    <mergeCell ref="Y260:Z260"/>
    <mergeCell ref="AA260:AB260"/>
    <mergeCell ref="AC260:AD260"/>
    <mergeCell ref="AE260:AF260"/>
    <mergeCell ref="AG260:AH260"/>
    <mergeCell ref="AI260:AJ260"/>
    <mergeCell ref="AE259:AF259"/>
    <mergeCell ref="AG259:AH259"/>
    <mergeCell ref="AI259:AJ259"/>
    <mergeCell ref="AK259:AL259"/>
    <mergeCell ref="AM259:AN259"/>
    <mergeCell ref="AO259:AP259"/>
    <mergeCell ref="AK258:AL258"/>
    <mergeCell ref="AM258:AN258"/>
    <mergeCell ref="AO258:AP258"/>
    <mergeCell ref="AQ258:AR258"/>
    <mergeCell ref="AS258:AT258"/>
    <mergeCell ref="U259:V259"/>
    <mergeCell ref="W259:X259"/>
    <mergeCell ref="Y259:Z259"/>
    <mergeCell ref="AA259:AB259"/>
    <mergeCell ref="AC259:AD259"/>
    <mergeCell ref="AQ261:AR261"/>
    <mergeCell ref="AS261:AT261"/>
    <mergeCell ref="U262:V262"/>
    <mergeCell ref="W262:X262"/>
    <mergeCell ref="Y262:Z262"/>
    <mergeCell ref="AA262:AB262"/>
    <mergeCell ref="AC262:AD262"/>
    <mergeCell ref="AE262:AF262"/>
    <mergeCell ref="AG262:AH262"/>
    <mergeCell ref="AI262:AJ262"/>
    <mergeCell ref="AE261:AF261"/>
    <mergeCell ref="AG261:AH261"/>
    <mergeCell ref="AI261:AJ261"/>
    <mergeCell ref="AK261:AL261"/>
    <mergeCell ref="AM261:AN261"/>
    <mergeCell ref="AO261:AP261"/>
    <mergeCell ref="AK260:AL260"/>
    <mergeCell ref="AM260:AN260"/>
    <mergeCell ref="AO260:AP260"/>
    <mergeCell ref="AQ260:AR260"/>
    <mergeCell ref="AS260:AT260"/>
    <mergeCell ref="U261:V261"/>
    <mergeCell ref="W261:X261"/>
    <mergeCell ref="Y261:Z261"/>
    <mergeCell ref="AA261:AB261"/>
    <mergeCell ref="AC261:AD261"/>
    <mergeCell ref="AQ263:AR263"/>
    <mergeCell ref="AS263:AT263"/>
    <mergeCell ref="U264:V264"/>
    <mergeCell ref="W264:X264"/>
    <mergeCell ref="Y264:Z264"/>
    <mergeCell ref="AA264:AB264"/>
    <mergeCell ref="AC264:AD264"/>
    <mergeCell ref="AE264:AF264"/>
    <mergeCell ref="AG264:AH264"/>
    <mergeCell ref="AI264:AJ264"/>
    <mergeCell ref="AE263:AF263"/>
    <mergeCell ref="AG263:AH263"/>
    <mergeCell ref="AI263:AJ263"/>
    <mergeCell ref="AK263:AL263"/>
    <mergeCell ref="AM263:AN263"/>
    <mergeCell ref="AO263:AP263"/>
    <mergeCell ref="AK262:AL262"/>
    <mergeCell ref="AM262:AN262"/>
    <mergeCell ref="AO262:AP262"/>
    <mergeCell ref="AQ262:AR262"/>
    <mergeCell ref="AS262:AT262"/>
    <mergeCell ref="U263:V263"/>
    <mergeCell ref="W263:X263"/>
    <mergeCell ref="Y263:Z263"/>
    <mergeCell ref="AA263:AB263"/>
    <mergeCell ref="AC263:AD263"/>
    <mergeCell ref="AQ265:AR265"/>
    <mergeCell ref="AS265:AT265"/>
    <mergeCell ref="U266:V266"/>
    <mergeCell ref="W266:X266"/>
    <mergeCell ref="Y266:Z266"/>
    <mergeCell ref="AA266:AB266"/>
    <mergeCell ref="AC266:AD266"/>
    <mergeCell ref="AE266:AF266"/>
    <mergeCell ref="AG266:AH266"/>
    <mergeCell ref="AI266:AJ266"/>
    <mergeCell ref="AE265:AF265"/>
    <mergeCell ref="AG265:AH265"/>
    <mergeCell ref="AI265:AJ265"/>
    <mergeCell ref="AK265:AL265"/>
    <mergeCell ref="AM265:AN265"/>
    <mergeCell ref="AO265:AP265"/>
    <mergeCell ref="AK264:AL264"/>
    <mergeCell ref="AM264:AN264"/>
    <mergeCell ref="AO264:AP264"/>
    <mergeCell ref="AQ264:AR264"/>
    <mergeCell ref="AS264:AT264"/>
    <mergeCell ref="U265:V265"/>
    <mergeCell ref="W265:X265"/>
    <mergeCell ref="Y265:Z265"/>
    <mergeCell ref="AA265:AB265"/>
    <mergeCell ref="AC265:AD265"/>
    <mergeCell ref="AQ267:AR267"/>
    <mergeCell ref="AS267:AT267"/>
    <mergeCell ref="U268:V268"/>
    <mergeCell ref="W268:X268"/>
    <mergeCell ref="Y268:Z268"/>
    <mergeCell ref="AA268:AB268"/>
    <mergeCell ref="AC268:AD268"/>
    <mergeCell ref="AE268:AF268"/>
    <mergeCell ref="AG268:AH268"/>
    <mergeCell ref="AI268:AJ268"/>
    <mergeCell ref="AE267:AF267"/>
    <mergeCell ref="AG267:AH267"/>
    <mergeCell ref="AI267:AJ267"/>
    <mergeCell ref="AK267:AL267"/>
    <mergeCell ref="AM267:AN267"/>
    <mergeCell ref="AO267:AP267"/>
    <mergeCell ref="AK266:AL266"/>
    <mergeCell ref="AM266:AN266"/>
    <mergeCell ref="AO266:AP266"/>
    <mergeCell ref="AQ266:AR266"/>
    <mergeCell ref="AS266:AT266"/>
    <mergeCell ref="U267:V267"/>
    <mergeCell ref="W267:X267"/>
    <mergeCell ref="Y267:Z267"/>
    <mergeCell ref="AA267:AB267"/>
    <mergeCell ref="AC267:AD267"/>
    <mergeCell ref="AQ269:AR269"/>
    <mergeCell ref="AS269:AT269"/>
    <mergeCell ref="U270:V270"/>
    <mergeCell ref="W270:X270"/>
    <mergeCell ref="Y270:Z270"/>
    <mergeCell ref="AA270:AB270"/>
    <mergeCell ref="AC270:AD270"/>
    <mergeCell ref="AE270:AF270"/>
    <mergeCell ref="AG270:AH270"/>
    <mergeCell ref="AI270:AJ270"/>
    <mergeCell ref="AE269:AF269"/>
    <mergeCell ref="AG269:AH269"/>
    <mergeCell ref="AI269:AJ269"/>
    <mergeCell ref="AK269:AL269"/>
    <mergeCell ref="AM269:AN269"/>
    <mergeCell ref="AO269:AP269"/>
    <mergeCell ref="AK268:AL268"/>
    <mergeCell ref="AM268:AN268"/>
    <mergeCell ref="AO268:AP268"/>
    <mergeCell ref="AQ268:AR268"/>
    <mergeCell ref="AS268:AT268"/>
    <mergeCell ref="U269:V269"/>
    <mergeCell ref="W269:X269"/>
    <mergeCell ref="Y269:Z269"/>
    <mergeCell ref="AA269:AB269"/>
    <mergeCell ref="AC269:AD269"/>
    <mergeCell ref="AQ271:AR271"/>
    <mergeCell ref="AS271:AT271"/>
    <mergeCell ref="U272:V272"/>
    <mergeCell ref="W272:X272"/>
    <mergeCell ref="Y272:Z272"/>
    <mergeCell ref="AA272:AB272"/>
    <mergeCell ref="AC272:AD272"/>
    <mergeCell ref="AE272:AF272"/>
    <mergeCell ref="AG272:AH272"/>
    <mergeCell ref="AI272:AJ272"/>
    <mergeCell ref="AE271:AF271"/>
    <mergeCell ref="AG271:AH271"/>
    <mergeCell ref="AI271:AJ271"/>
    <mergeCell ref="AK271:AL271"/>
    <mergeCell ref="AM271:AN271"/>
    <mergeCell ref="AO271:AP271"/>
    <mergeCell ref="AK270:AL270"/>
    <mergeCell ref="AM270:AN270"/>
    <mergeCell ref="AO270:AP270"/>
    <mergeCell ref="AQ270:AR270"/>
    <mergeCell ref="AS270:AT270"/>
    <mergeCell ref="U271:V271"/>
    <mergeCell ref="W271:X271"/>
    <mergeCell ref="Y271:Z271"/>
    <mergeCell ref="AA271:AB271"/>
    <mergeCell ref="AC271:AD271"/>
    <mergeCell ref="AQ273:AR273"/>
    <mergeCell ref="AS273:AT273"/>
    <mergeCell ref="U274:V274"/>
    <mergeCell ref="W274:X274"/>
    <mergeCell ref="Y274:Z274"/>
    <mergeCell ref="AA274:AB274"/>
    <mergeCell ref="AC274:AD274"/>
    <mergeCell ref="AE274:AF274"/>
    <mergeCell ref="AG274:AH274"/>
    <mergeCell ref="AI274:AJ274"/>
    <mergeCell ref="AE273:AF273"/>
    <mergeCell ref="AG273:AH273"/>
    <mergeCell ref="AI273:AJ273"/>
    <mergeCell ref="AK273:AL273"/>
    <mergeCell ref="AM273:AN273"/>
    <mergeCell ref="AO273:AP273"/>
    <mergeCell ref="AK272:AL272"/>
    <mergeCell ref="AM272:AN272"/>
    <mergeCell ref="AO272:AP272"/>
    <mergeCell ref="AQ272:AR272"/>
    <mergeCell ref="AS272:AT272"/>
    <mergeCell ref="U273:V273"/>
    <mergeCell ref="W273:X273"/>
    <mergeCell ref="Y273:Z273"/>
    <mergeCell ref="AA273:AB273"/>
    <mergeCell ref="AC273:AD273"/>
    <mergeCell ref="AQ275:AR275"/>
    <mergeCell ref="AS275:AT275"/>
    <mergeCell ref="U276:V276"/>
    <mergeCell ref="W276:X276"/>
    <mergeCell ref="Y276:Z276"/>
    <mergeCell ref="AA276:AB276"/>
    <mergeCell ref="AC276:AD276"/>
    <mergeCell ref="AE276:AF276"/>
    <mergeCell ref="AG276:AH276"/>
    <mergeCell ref="AI276:AJ276"/>
    <mergeCell ref="AE275:AF275"/>
    <mergeCell ref="AG275:AH275"/>
    <mergeCell ref="AI275:AJ275"/>
    <mergeCell ref="AK275:AL275"/>
    <mergeCell ref="AM275:AN275"/>
    <mergeCell ref="AO275:AP275"/>
    <mergeCell ref="AK274:AL274"/>
    <mergeCell ref="AM274:AN274"/>
    <mergeCell ref="AO274:AP274"/>
    <mergeCell ref="AQ274:AR274"/>
    <mergeCell ref="AS274:AT274"/>
    <mergeCell ref="U275:V275"/>
    <mergeCell ref="W275:X275"/>
    <mergeCell ref="Y275:Z275"/>
    <mergeCell ref="AA275:AB275"/>
    <mergeCell ref="AC275:AD275"/>
    <mergeCell ref="AQ277:AR277"/>
    <mergeCell ref="AS277:AT277"/>
    <mergeCell ref="U278:V278"/>
    <mergeCell ref="W278:X278"/>
    <mergeCell ref="Y278:Z278"/>
    <mergeCell ref="AA278:AB278"/>
    <mergeCell ref="AC278:AD278"/>
    <mergeCell ref="AE278:AF278"/>
    <mergeCell ref="AG278:AH278"/>
    <mergeCell ref="AI278:AJ278"/>
    <mergeCell ref="AE277:AF277"/>
    <mergeCell ref="AG277:AH277"/>
    <mergeCell ref="AI277:AJ277"/>
    <mergeCell ref="AK277:AL277"/>
    <mergeCell ref="AM277:AN277"/>
    <mergeCell ref="AO277:AP277"/>
    <mergeCell ref="AK276:AL276"/>
    <mergeCell ref="AM276:AN276"/>
    <mergeCell ref="AO276:AP276"/>
    <mergeCell ref="AQ276:AR276"/>
    <mergeCell ref="AS276:AT276"/>
    <mergeCell ref="U277:V277"/>
    <mergeCell ref="W277:X277"/>
    <mergeCell ref="Y277:Z277"/>
    <mergeCell ref="AA277:AB277"/>
    <mergeCell ref="AC277:AD277"/>
    <mergeCell ref="AQ279:AR279"/>
    <mergeCell ref="AS279:AT279"/>
    <mergeCell ref="U280:V280"/>
    <mergeCell ref="W280:X280"/>
    <mergeCell ref="Y280:Z280"/>
    <mergeCell ref="AA280:AB280"/>
    <mergeCell ref="AC280:AD280"/>
    <mergeCell ref="AE280:AF280"/>
    <mergeCell ref="AG280:AH280"/>
    <mergeCell ref="AI280:AJ280"/>
    <mergeCell ref="AE279:AF279"/>
    <mergeCell ref="AG279:AH279"/>
    <mergeCell ref="AI279:AJ279"/>
    <mergeCell ref="AK279:AL279"/>
    <mergeCell ref="AM279:AN279"/>
    <mergeCell ref="AO279:AP279"/>
    <mergeCell ref="AK278:AL278"/>
    <mergeCell ref="AM278:AN278"/>
    <mergeCell ref="AO278:AP278"/>
    <mergeCell ref="AQ278:AR278"/>
    <mergeCell ref="AS278:AT278"/>
    <mergeCell ref="U279:V279"/>
    <mergeCell ref="W279:X279"/>
    <mergeCell ref="Y279:Z279"/>
    <mergeCell ref="AA279:AB279"/>
    <mergeCell ref="AC279:AD279"/>
    <mergeCell ref="AQ281:AR281"/>
    <mergeCell ref="AS281:AT281"/>
    <mergeCell ref="U282:V282"/>
    <mergeCell ref="W282:X282"/>
    <mergeCell ref="Y282:Z282"/>
    <mergeCell ref="AA282:AB282"/>
    <mergeCell ref="AC282:AD282"/>
    <mergeCell ref="AE282:AF282"/>
    <mergeCell ref="AG282:AH282"/>
    <mergeCell ref="AI282:AJ282"/>
    <mergeCell ref="AE281:AF281"/>
    <mergeCell ref="AG281:AH281"/>
    <mergeCell ref="AI281:AJ281"/>
    <mergeCell ref="AK281:AL281"/>
    <mergeCell ref="AM281:AN281"/>
    <mergeCell ref="AO281:AP281"/>
    <mergeCell ref="AK280:AL280"/>
    <mergeCell ref="AM280:AN280"/>
    <mergeCell ref="AO280:AP280"/>
    <mergeCell ref="AQ280:AR280"/>
    <mergeCell ref="AS280:AT280"/>
    <mergeCell ref="U281:V281"/>
    <mergeCell ref="W281:X281"/>
    <mergeCell ref="Y281:Z281"/>
    <mergeCell ref="AA281:AB281"/>
    <mergeCell ref="AC281:AD281"/>
    <mergeCell ref="AQ283:AR283"/>
    <mergeCell ref="AS283:AT283"/>
    <mergeCell ref="U284:V284"/>
    <mergeCell ref="W284:X284"/>
    <mergeCell ref="Y284:Z284"/>
    <mergeCell ref="AA284:AB284"/>
    <mergeCell ref="AC284:AD284"/>
    <mergeCell ref="AE284:AF284"/>
    <mergeCell ref="AG284:AH284"/>
    <mergeCell ref="AI284:AJ284"/>
    <mergeCell ref="AE283:AF283"/>
    <mergeCell ref="AG283:AH283"/>
    <mergeCell ref="AI283:AJ283"/>
    <mergeCell ref="AK283:AL283"/>
    <mergeCell ref="AM283:AN283"/>
    <mergeCell ref="AO283:AP283"/>
    <mergeCell ref="AK282:AL282"/>
    <mergeCell ref="AM282:AN282"/>
    <mergeCell ref="AO282:AP282"/>
    <mergeCell ref="AQ282:AR282"/>
    <mergeCell ref="AS282:AT282"/>
    <mergeCell ref="U283:V283"/>
    <mergeCell ref="W283:X283"/>
    <mergeCell ref="Y283:Z283"/>
    <mergeCell ref="AA283:AB283"/>
    <mergeCell ref="AC283:AD283"/>
    <mergeCell ref="AQ285:AR285"/>
    <mergeCell ref="AS285:AT285"/>
    <mergeCell ref="U286:V286"/>
    <mergeCell ref="W286:X286"/>
    <mergeCell ref="Y286:Z286"/>
    <mergeCell ref="AA286:AB286"/>
    <mergeCell ref="AC286:AD286"/>
    <mergeCell ref="AE286:AF286"/>
    <mergeCell ref="AG286:AH286"/>
    <mergeCell ref="AI286:AJ286"/>
    <mergeCell ref="AE285:AF285"/>
    <mergeCell ref="AG285:AH285"/>
    <mergeCell ref="AI285:AJ285"/>
    <mergeCell ref="AK285:AL285"/>
    <mergeCell ref="AM285:AN285"/>
    <mergeCell ref="AO285:AP285"/>
    <mergeCell ref="AK284:AL284"/>
    <mergeCell ref="AM284:AN284"/>
    <mergeCell ref="AO284:AP284"/>
    <mergeCell ref="AQ284:AR284"/>
    <mergeCell ref="AS284:AT284"/>
    <mergeCell ref="U285:V285"/>
    <mergeCell ref="W285:X285"/>
    <mergeCell ref="Y285:Z285"/>
    <mergeCell ref="AA285:AB285"/>
    <mergeCell ref="AC285:AD285"/>
    <mergeCell ref="AQ287:AR287"/>
    <mergeCell ref="AS287:AT287"/>
    <mergeCell ref="U288:V288"/>
    <mergeCell ref="W288:X288"/>
    <mergeCell ref="Y288:Z288"/>
    <mergeCell ref="AA288:AB288"/>
    <mergeCell ref="AC288:AD288"/>
    <mergeCell ref="AE288:AF288"/>
    <mergeCell ref="AG288:AH288"/>
    <mergeCell ref="AI288:AJ288"/>
    <mergeCell ref="AE287:AF287"/>
    <mergeCell ref="AG287:AH287"/>
    <mergeCell ref="AI287:AJ287"/>
    <mergeCell ref="AK287:AL287"/>
    <mergeCell ref="AM287:AN287"/>
    <mergeCell ref="AO287:AP287"/>
    <mergeCell ref="AK286:AL286"/>
    <mergeCell ref="AM286:AN286"/>
    <mergeCell ref="AO286:AP286"/>
    <mergeCell ref="AQ286:AR286"/>
    <mergeCell ref="AS286:AT286"/>
    <mergeCell ref="U287:V287"/>
    <mergeCell ref="W287:X287"/>
    <mergeCell ref="Y287:Z287"/>
    <mergeCell ref="AA287:AB287"/>
    <mergeCell ref="AC287:AD287"/>
    <mergeCell ref="AQ289:AR289"/>
    <mergeCell ref="AS289:AT289"/>
    <mergeCell ref="U290:V290"/>
    <mergeCell ref="W290:X290"/>
    <mergeCell ref="Y290:Z290"/>
    <mergeCell ref="AA290:AB290"/>
    <mergeCell ref="AC290:AD290"/>
    <mergeCell ref="AE290:AF290"/>
    <mergeCell ref="AG290:AH290"/>
    <mergeCell ref="AI290:AJ290"/>
    <mergeCell ref="AE289:AF289"/>
    <mergeCell ref="AG289:AH289"/>
    <mergeCell ref="AI289:AJ289"/>
    <mergeCell ref="AK289:AL289"/>
    <mergeCell ref="AM289:AN289"/>
    <mergeCell ref="AO289:AP289"/>
    <mergeCell ref="AK288:AL288"/>
    <mergeCell ref="AM288:AN288"/>
    <mergeCell ref="AO288:AP288"/>
    <mergeCell ref="AQ288:AR288"/>
    <mergeCell ref="AS288:AT288"/>
    <mergeCell ref="U289:V289"/>
    <mergeCell ref="W289:X289"/>
    <mergeCell ref="Y289:Z289"/>
    <mergeCell ref="AA289:AB289"/>
    <mergeCell ref="AC289:AD289"/>
    <mergeCell ref="AQ291:AR291"/>
    <mergeCell ref="AS291:AT291"/>
    <mergeCell ref="U292:V292"/>
    <mergeCell ref="W292:X292"/>
    <mergeCell ref="Y292:Z292"/>
    <mergeCell ref="AA292:AB292"/>
    <mergeCell ref="AC292:AD292"/>
    <mergeCell ref="AE292:AF292"/>
    <mergeCell ref="AG292:AH292"/>
    <mergeCell ref="AI292:AJ292"/>
    <mergeCell ref="AE291:AF291"/>
    <mergeCell ref="AG291:AH291"/>
    <mergeCell ref="AI291:AJ291"/>
    <mergeCell ref="AK291:AL291"/>
    <mergeCell ref="AM291:AN291"/>
    <mergeCell ref="AO291:AP291"/>
    <mergeCell ref="AK290:AL290"/>
    <mergeCell ref="AM290:AN290"/>
    <mergeCell ref="AO290:AP290"/>
    <mergeCell ref="AQ290:AR290"/>
    <mergeCell ref="AS290:AT290"/>
    <mergeCell ref="U291:V291"/>
    <mergeCell ref="W291:X291"/>
    <mergeCell ref="Y291:Z291"/>
    <mergeCell ref="AA291:AB291"/>
    <mergeCell ref="AC291:AD291"/>
    <mergeCell ref="AQ293:AR293"/>
    <mergeCell ref="AS293:AT293"/>
    <mergeCell ref="U294:V294"/>
    <mergeCell ref="W294:X294"/>
    <mergeCell ref="Y294:Z294"/>
    <mergeCell ref="AA294:AB294"/>
    <mergeCell ref="AC294:AD294"/>
    <mergeCell ref="AE294:AF294"/>
    <mergeCell ref="AG294:AH294"/>
    <mergeCell ref="AI294:AJ294"/>
    <mergeCell ref="AE293:AF293"/>
    <mergeCell ref="AG293:AH293"/>
    <mergeCell ref="AI293:AJ293"/>
    <mergeCell ref="AK293:AL293"/>
    <mergeCell ref="AM293:AN293"/>
    <mergeCell ref="AO293:AP293"/>
    <mergeCell ref="AK292:AL292"/>
    <mergeCell ref="AM292:AN292"/>
    <mergeCell ref="AO292:AP292"/>
    <mergeCell ref="AQ292:AR292"/>
    <mergeCell ref="AS292:AT292"/>
    <mergeCell ref="U293:V293"/>
    <mergeCell ref="W293:X293"/>
    <mergeCell ref="Y293:Z293"/>
    <mergeCell ref="AA293:AB293"/>
    <mergeCell ref="AC293:AD293"/>
    <mergeCell ref="AQ295:AR295"/>
    <mergeCell ref="AS295:AT295"/>
    <mergeCell ref="U296:V296"/>
    <mergeCell ref="W296:X296"/>
    <mergeCell ref="Y296:Z296"/>
    <mergeCell ref="AA296:AB296"/>
    <mergeCell ref="AC296:AD296"/>
    <mergeCell ref="AE296:AF296"/>
    <mergeCell ref="AG296:AH296"/>
    <mergeCell ref="AI296:AJ296"/>
    <mergeCell ref="AE295:AF295"/>
    <mergeCell ref="AG295:AH295"/>
    <mergeCell ref="AI295:AJ295"/>
    <mergeCell ref="AK295:AL295"/>
    <mergeCell ref="AM295:AN295"/>
    <mergeCell ref="AO295:AP295"/>
    <mergeCell ref="AK294:AL294"/>
    <mergeCell ref="AM294:AN294"/>
    <mergeCell ref="AO294:AP294"/>
    <mergeCell ref="AQ294:AR294"/>
    <mergeCell ref="AS294:AT294"/>
    <mergeCell ref="U295:V295"/>
    <mergeCell ref="W295:X295"/>
    <mergeCell ref="Y295:Z295"/>
    <mergeCell ref="AA295:AB295"/>
    <mergeCell ref="AC295:AD295"/>
    <mergeCell ref="AQ297:AR297"/>
    <mergeCell ref="AS297:AT297"/>
    <mergeCell ref="U298:V298"/>
    <mergeCell ref="W298:X298"/>
    <mergeCell ref="Y298:Z298"/>
    <mergeCell ref="AA298:AB298"/>
    <mergeCell ref="AC298:AD298"/>
    <mergeCell ref="AE298:AF298"/>
    <mergeCell ref="AG298:AH298"/>
    <mergeCell ref="AI298:AJ298"/>
    <mergeCell ref="AE297:AF297"/>
    <mergeCell ref="AG297:AH297"/>
    <mergeCell ref="AI297:AJ297"/>
    <mergeCell ref="AK297:AL297"/>
    <mergeCell ref="AM297:AN297"/>
    <mergeCell ref="AO297:AP297"/>
    <mergeCell ref="AK296:AL296"/>
    <mergeCell ref="AM296:AN296"/>
    <mergeCell ref="AO296:AP296"/>
    <mergeCell ref="AQ296:AR296"/>
    <mergeCell ref="AS296:AT296"/>
    <mergeCell ref="U297:V297"/>
    <mergeCell ref="W297:X297"/>
    <mergeCell ref="Y297:Z297"/>
    <mergeCell ref="AA297:AB297"/>
    <mergeCell ref="AC297:AD297"/>
    <mergeCell ref="AQ299:AR299"/>
    <mergeCell ref="AS299:AT299"/>
    <mergeCell ref="U300:V300"/>
    <mergeCell ref="W300:X300"/>
    <mergeCell ref="Y300:Z300"/>
    <mergeCell ref="AA300:AB300"/>
    <mergeCell ref="AC300:AD300"/>
    <mergeCell ref="AE300:AF300"/>
    <mergeCell ref="AG300:AH300"/>
    <mergeCell ref="AI300:AJ300"/>
    <mergeCell ref="AE299:AF299"/>
    <mergeCell ref="AG299:AH299"/>
    <mergeCell ref="AI299:AJ299"/>
    <mergeCell ref="AK299:AL299"/>
    <mergeCell ref="AM299:AN299"/>
    <mergeCell ref="AO299:AP299"/>
    <mergeCell ref="AK298:AL298"/>
    <mergeCell ref="AM298:AN298"/>
    <mergeCell ref="AO298:AP298"/>
    <mergeCell ref="AQ298:AR298"/>
    <mergeCell ref="AS298:AT298"/>
    <mergeCell ref="U299:V299"/>
    <mergeCell ref="W299:X299"/>
    <mergeCell ref="Y299:Z299"/>
    <mergeCell ref="AA299:AB299"/>
    <mergeCell ref="AC299:AD299"/>
    <mergeCell ref="AQ301:AR301"/>
    <mergeCell ref="AS301:AT301"/>
    <mergeCell ref="U302:V302"/>
    <mergeCell ref="W302:X302"/>
    <mergeCell ref="Y302:Z302"/>
    <mergeCell ref="AA302:AB302"/>
    <mergeCell ref="AC302:AD302"/>
    <mergeCell ref="AE302:AF302"/>
    <mergeCell ref="AG302:AH302"/>
    <mergeCell ref="AI302:AJ302"/>
    <mergeCell ref="AE301:AF301"/>
    <mergeCell ref="AG301:AH301"/>
    <mergeCell ref="AI301:AJ301"/>
    <mergeCell ref="AK301:AL301"/>
    <mergeCell ref="AM301:AN301"/>
    <mergeCell ref="AO301:AP301"/>
    <mergeCell ref="AK300:AL300"/>
    <mergeCell ref="AM300:AN300"/>
    <mergeCell ref="AO300:AP300"/>
    <mergeCell ref="AQ300:AR300"/>
    <mergeCell ref="AS300:AT300"/>
    <mergeCell ref="U301:V301"/>
    <mergeCell ref="W301:X301"/>
    <mergeCell ref="Y301:Z301"/>
    <mergeCell ref="AA301:AB301"/>
    <mergeCell ref="AC301:AD301"/>
    <mergeCell ref="AQ303:AR303"/>
    <mergeCell ref="AS303:AT303"/>
    <mergeCell ref="U304:V304"/>
    <mergeCell ref="W304:X304"/>
    <mergeCell ref="Y304:Z304"/>
    <mergeCell ref="AA304:AB304"/>
    <mergeCell ref="AC304:AD304"/>
    <mergeCell ref="AE304:AF304"/>
    <mergeCell ref="AG304:AH304"/>
    <mergeCell ref="AI304:AJ304"/>
    <mergeCell ref="AE303:AF303"/>
    <mergeCell ref="AG303:AH303"/>
    <mergeCell ref="AI303:AJ303"/>
    <mergeCell ref="AK303:AL303"/>
    <mergeCell ref="AM303:AN303"/>
    <mergeCell ref="AO303:AP303"/>
    <mergeCell ref="AK302:AL302"/>
    <mergeCell ref="AM302:AN302"/>
    <mergeCell ref="AO302:AP302"/>
    <mergeCell ref="AQ302:AR302"/>
    <mergeCell ref="AS302:AT302"/>
    <mergeCell ref="U303:V303"/>
    <mergeCell ref="W303:X303"/>
    <mergeCell ref="Y303:Z303"/>
    <mergeCell ref="AA303:AB303"/>
    <mergeCell ref="AC303:AD303"/>
    <mergeCell ref="AQ305:AR305"/>
    <mergeCell ref="AS305:AT305"/>
    <mergeCell ref="AE305:AF305"/>
    <mergeCell ref="AG305:AH305"/>
    <mergeCell ref="AI305:AJ305"/>
    <mergeCell ref="AK305:AL305"/>
    <mergeCell ref="AM305:AN305"/>
    <mergeCell ref="AO305:AP305"/>
    <mergeCell ref="AK304:AL304"/>
    <mergeCell ref="AM304:AN304"/>
    <mergeCell ref="AO304:AP304"/>
    <mergeCell ref="AQ304:AR304"/>
    <mergeCell ref="AS304:AT304"/>
    <mergeCell ref="U305:V305"/>
    <mergeCell ref="W305:X305"/>
    <mergeCell ref="Y305:Z305"/>
    <mergeCell ref="AA305:AB305"/>
    <mergeCell ref="AC305:AD305"/>
    <mergeCell ref="AG64:AH64"/>
    <mergeCell ref="AI64:AJ64"/>
    <mergeCell ref="AK64:AL64"/>
    <mergeCell ref="AM64:AN64"/>
    <mergeCell ref="AO64:AP64"/>
    <mergeCell ref="AQ64:AR64"/>
    <mergeCell ref="AS64:AT64"/>
    <mergeCell ref="U65:V65"/>
    <mergeCell ref="W65:X65"/>
    <mergeCell ref="Y65:Z65"/>
    <mergeCell ref="AA65:AB65"/>
    <mergeCell ref="AC65:AD65"/>
    <mergeCell ref="AE65:AF65"/>
    <mergeCell ref="AG65:AH65"/>
    <mergeCell ref="AI65:AJ65"/>
    <mergeCell ref="AK65:AL65"/>
    <mergeCell ref="AM65:AN65"/>
    <mergeCell ref="AO65:AP65"/>
    <mergeCell ref="AQ65:AR65"/>
    <mergeCell ref="AS65:AT65"/>
  </mergeCells>
  <conditionalFormatting sqref="E29:G29 D28:F28 F300:F305 D29:D63 F30:F63 T28:T63 AU66:BP304 T66:T304 F66:F141 D66:D304 AU28:BP63">
    <cfRule type="cellIs" dxfId="417" priority="415" stopIfTrue="1" operator="equal">
      <formula>0</formula>
    </cfRule>
  </conditionalFormatting>
  <conditionalFormatting sqref="D305">
    <cfRule type="cellIs" dxfId="416" priority="414" stopIfTrue="1" operator="equal">
      <formula>0</formula>
    </cfRule>
  </conditionalFormatting>
  <conditionalFormatting sqref="T28:T63 T66:T304">
    <cfRule type="cellIs" dxfId="415" priority="413" stopIfTrue="1" operator="equal">
      <formula>FALSE</formula>
    </cfRule>
  </conditionalFormatting>
  <conditionalFormatting sqref="F298:F299">
    <cfRule type="cellIs" dxfId="414" priority="412" stopIfTrue="1" operator="equal">
      <formula>0</formula>
    </cfRule>
  </conditionalFormatting>
  <conditionalFormatting sqref="F296:F297">
    <cfRule type="cellIs" dxfId="413" priority="411" stopIfTrue="1" operator="equal">
      <formula>0</formula>
    </cfRule>
  </conditionalFormatting>
  <conditionalFormatting sqref="F294:F295">
    <cfRule type="cellIs" dxfId="412" priority="410" stopIfTrue="1" operator="equal">
      <formula>0</formula>
    </cfRule>
  </conditionalFormatting>
  <conditionalFormatting sqref="F282:F283">
    <cfRule type="cellIs" dxfId="411" priority="404" stopIfTrue="1" operator="equal">
      <formula>0</formula>
    </cfRule>
  </conditionalFormatting>
  <conditionalFormatting sqref="F292:F293">
    <cfRule type="cellIs" dxfId="410" priority="409" stopIfTrue="1" operator="equal">
      <formula>0</formula>
    </cfRule>
  </conditionalFormatting>
  <conditionalFormatting sqref="F280:F281">
    <cfRule type="cellIs" dxfId="409" priority="403" stopIfTrue="1" operator="equal">
      <formula>0</formula>
    </cfRule>
  </conditionalFormatting>
  <conditionalFormatting sqref="F290:F291">
    <cfRule type="cellIs" dxfId="408" priority="408" stopIfTrue="1" operator="equal">
      <formula>0</formula>
    </cfRule>
  </conditionalFormatting>
  <conditionalFormatting sqref="F278:F279">
    <cfRule type="cellIs" dxfId="407" priority="402" stopIfTrue="1" operator="equal">
      <formula>0</formula>
    </cfRule>
  </conditionalFormatting>
  <conditionalFormatting sqref="F288:F289">
    <cfRule type="cellIs" dxfId="406" priority="407" stopIfTrue="1" operator="equal">
      <formula>0</formula>
    </cfRule>
  </conditionalFormatting>
  <conditionalFormatting sqref="F276:F277">
    <cfRule type="cellIs" dxfId="405" priority="401" stopIfTrue="1" operator="equal">
      <formula>0</formula>
    </cfRule>
  </conditionalFormatting>
  <conditionalFormatting sqref="F286:F287">
    <cfRule type="cellIs" dxfId="404" priority="406" stopIfTrue="1" operator="equal">
      <formula>0</formula>
    </cfRule>
  </conditionalFormatting>
  <conditionalFormatting sqref="F274:F275">
    <cfRule type="cellIs" dxfId="403" priority="400" stopIfTrue="1" operator="equal">
      <formula>0</formula>
    </cfRule>
  </conditionalFormatting>
  <conditionalFormatting sqref="F284:F285">
    <cfRule type="cellIs" dxfId="402" priority="405" stopIfTrue="1" operator="equal">
      <formula>0</formula>
    </cfRule>
  </conditionalFormatting>
  <conditionalFormatting sqref="F272:F273">
    <cfRule type="cellIs" dxfId="401" priority="399" stopIfTrue="1" operator="equal">
      <formula>0</formula>
    </cfRule>
  </conditionalFormatting>
  <conditionalFormatting sqref="F270:F271">
    <cfRule type="cellIs" dxfId="400" priority="398" stopIfTrue="1" operator="equal">
      <formula>0</formula>
    </cfRule>
  </conditionalFormatting>
  <conditionalFormatting sqref="F268:F269">
    <cfRule type="cellIs" dxfId="399" priority="397" stopIfTrue="1" operator="equal">
      <formula>0</formula>
    </cfRule>
  </conditionalFormatting>
  <conditionalFormatting sqref="F266:F267">
    <cfRule type="cellIs" dxfId="398" priority="396" stopIfTrue="1" operator="equal">
      <formula>0</formula>
    </cfRule>
  </conditionalFormatting>
  <conditionalFormatting sqref="F264:F265">
    <cfRule type="cellIs" dxfId="397" priority="395" stopIfTrue="1" operator="equal">
      <formula>0</formula>
    </cfRule>
  </conditionalFormatting>
  <conditionalFormatting sqref="F262:F263">
    <cfRule type="cellIs" dxfId="396" priority="394" stopIfTrue="1" operator="equal">
      <formula>0</formula>
    </cfRule>
  </conditionalFormatting>
  <conditionalFormatting sqref="F260:F261">
    <cfRule type="cellIs" dxfId="395" priority="393" stopIfTrue="1" operator="equal">
      <formula>0</formula>
    </cfRule>
  </conditionalFormatting>
  <conditionalFormatting sqref="F258:F259">
    <cfRule type="cellIs" dxfId="394" priority="392" stopIfTrue="1" operator="equal">
      <formula>0</formula>
    </cfRule>
  </conditionalFormatting>
  <conditionalFormatting sqref="F256:F257">
    <cfRule type="cellIs" dxfId="393" priority="391" stopIfTrue="1" operator="equal">
      <formula>0</formula>
    </cfRule>
  </conditionalFormatting>
  <conditionalFormatting sqref="F254:F255">
    <cfRule type="cellIs" dxfId="392" priority="390" stopIfTrue="1" operator="equal">
      <formula>0</formula>
    </cfRule>
  </conditionalFormatting>
  <conditionalFormatting sqref="F252:F253">
    <cfRule type="cellIs" dxfId="391" priority="389" stopIfTrue="1" operator="equal">
      <formula>0</formula>
    </cfRule>
  </conditionalFormatting>
  <conditionalFormatting sqref="F226:F227">
    <cfRule type="cellIs" dxfId="390" priority="376" stopIfTrue="1" operator="equal">
      <formula>0</formula>
    </cfRule>
  </conditionalFormatting>
  <conditionalFormatting sqref="F250:F251">
    <cfRule type="cellIs" dxfId="389" priority="388" stopIfTrue="1" operator="equal">
      <formula>0</formula>
    </cfRule>
  </conditionalFormatting>
  <conditionalFormatting sqref="F224:F225">
    <cfRule type="cellIs" dxfId="388" priority="375" stopIfTrue="1" operator="equal">
      <formula>0</formula>
    </cfRule>
  </conditionalFormatting>
  <conditionalFormatting sqref="F248:F249">
    <cfRule type="cellIs" dxfId="387" priority="387" stopIfTrue="1" operator="equal">
      <formula>0</formula>
    </cfRule>
  </conditionalFormatting>
  <conditionalFormatting sqref="F222:F223">
    <cfRule type="cellIs" dxfId="386" priority="374" stopIfTrue="1" operator="equal">
      <formula>0</formula>
    </cfRule>
  </conditionalFormatting>
  <conditionalFormatting sqref="F246:F247">
    <cfRule type="cellIs" dxfId="385" priority="386" stopIfTrue="1" operator="equal">
      <formula>0</formula>
    </cfRule>
  </conditionalFormatting>
  <conditionalFormatting sqref="F220:F221">
    <cfRule type="cellIs" dxfId="384" priority="373" stopIfTrue="1" operator="equal">
      <formula>0</formula>
    </cfRule>
  </conditionalFormatting>
  <conditionalFormatting sqref="F244:F245">
    <cfRule type="cellIs" dxfId="383" priority="385" stopIfTrue="1" operator="equal">
      <formula>0</formula>
    </cfRule>
  </conditionalFormatting>
  <conditionalFormatting sqref="F218:F219">
    <cfRule type="cellIs" dxfId="382" priority="372" stopIfTrue="1" operator="equal">
      <formula>0</formula>
    </cfRule>
  </conditionalFormatting>
  <conditionalFormatting sqref="F242:F243">
    <cfRule type="cellIs" dxfId="381" priority="384" stopIfTrue="1" operator="equal">
      <formula>0</formula>
    </cfRule>
  </conditionalFormatting>
  <conditionalFormatting sqref="F216:F217">
    <cfRule type="cellIs" dxfId="380" priority="371" stopIfTrue="1" operator="equal">
      <formula>0</formula>
    </cfRule>
  </conditionalFormatting>
  <conditionalFormatting sqref="F240:F241">
    <cfRule type="cellIs" dxfId="379" priority="383" stopIfTrue="1" operator="equal">
      <formula>0</formula>
    </cfRule>
  </conditionalFormatting>
  <conditionalFormatting sqref="F214:F215">
    <cfRule type="cellIs" dxfId="378" priority="370" stopIfTrue="1" operator="equal">
      <formula>0</formula>
    </cfRule>
  </conditionalFormatting>
  <conditionalFormatting sqref="F238:F239">
    <cfRule type="cellIs" dxfId="377" priority="382" stopIfTrue="1" operator="equal">
      <formula>0</formula>
    </cfRule>
  </conditionalFormatting>
  <conditionalFormatting sqref="F236:F237">
    <cfRule type="cellIs" dxfId="376" priority="381" stopIfTrue="1" operator="equal">
      <formula>0</formula>
    </cfRule>
  </conditionalFormatting>
  <conditionalFormatting sqref="F234:F235">
    <cfRule type="cellIs" dxfId="375" priority="380" stopIfTrue="1" operator="equal">
      <formula>0</formula>
    </cfRule>
  </conditionalFormatting>
  <conditionalFormatting sqref="F232:F233">
    <cfRule type="cellIs" dxfId="374" priority="379" stopIfTrue="1" operator="equal">
      <formula>0</formula>
    </cfRule>
  </conditionalFormatting>
  <conditionalFormatting sqref="F230:F231">
    <cfRule type="cellIs" dxfId="373" priority="378" stopIfTrue="1" operator="equal">
      <formula>0</formula>
    </cfRule>
  </conditionalFormatting>
  <conditionalFormatting sqref="F228:F229">
    <cfRule type="cellIs" dxfId="372" priority="377" stopIfTrue="1" operator="equal">
      <formula>0</formula>
    </cfRule>
  </conditionalFormatting>
  <conditionalFormatting sqref="F212:F213">
    <cfRule type="cellIs" dxfId="371" priority="369" stopIfTrue="1" operator="equal">
      <formula>0</formula>
    </cfRule>
  </conditionalFormatting>
  <conditionalFormatting sqref="F210:F211">
    <cfRule type="cellIs" dxfId="370" priority="368" stopIfTrue="1" operator="equal">
      <formula>0</formula>
    </cfRule>
  </conditionalFormatting>
  <conditionalFormatting sqref="F170:F171">
    <cfRule type="cellIs" dxfId="369" priority="348" stopIfTrue="1" operator="equal">
      <formula>0</formula>
    </cfRule>
  </conditionalFormatting>
  <conditionalFormatting sqref="F208:F209">
    <cfRule type="cellIs" dxfId="368" priority="367" stopIfTrue="1" operator="equal">
      <formula>0</formula>
    </cfRule>
  </conditionalFormatting>
  <conditionalFormatting sqref="F168:F169">
    <cfRule type="cellIs" dxfId="367" priority="347" stopIfTrue="1" operator="equal">
      <formula>0</formula>
    </cfRule>
  </conditionalFormatting>
  <conditionalFormatting sqref="F206:F207">
    <cfRule type="cellIs" dxfId="366" priority="366" stopIfTrue="1" operator="equal">
      <formula>0</formula>
    </cfRule>
  </conditionalFormatting>
  <conditionalFormatting sqref="F166:F167">
    <cfRule type="cellIs" dxfId="365" priority="346" stopIfTrue="1" operator="equal">
      <formula>0</formula>
    </cfRule>
  </conditionalFormatting>
  <conditionalFormatting sqref="F204:F205">
    <cfRule type="cellIs" dxfId="364" priority="365" stopIfTrue="1" operator="equal">
      <formula>0</formula>
    </cfRule>
  </conditionalFormatting>
  <conditionalFormatting sqref="F164:F165">
    <cfRule type="cellIs" dxfId="363" priority="345" stopIfTrue="1" operator="equal">
      <formula>0</formula>
    </cfRule>
  </conditionalFormatting>
  <conditionalFormatting sqref="F202:F203">
    <cfRule type="cellIs" dxfId="362" priority="364" stopIfTrue="1" operator="equal">
      <formula>0</formula>
    </cfRule>
  </conditionalFormatting>
  <conditionalFormatting sqref="F162:F163">
    <cfRule type="cellIs" dxfId="361" priority="344" stopIfTrue="1" operator="equal">
      <formula>0</formula>
    </cfRule>
  </conditionalFormatting>
  <conditionalFormatting sqref="F200:F201">
    <cfRule type="cellIs" dxfId="360" priority="363" stopIfTrue="1" operator="equal">
      <formula>0</formula>
    </cfRule>
  </conditionalFormatting>
  <conditionalFormatting sqref="F160:F161">
    <cfRule type="cellIs" dxfId="359" priority="343" stopIfTrue="1" operator="equal">
      <formula>0</formula>
    </cfRule>
  </conditionalFormatting>
  <conditionalFormatting sqref="F198:F199">
    <cfRule type="cellIs" dxfId="358" priority="362" stopIfTrue="1" operator="equal">
      <formula>0</formula>
    </cfRule>
  </conditionalFormatting>
  <conditionalFormatting sqref="F158:F159">
    <cfRule type="cellIs" dxfId="357" priority="342" stopIfTrue="1" operator="equal">
      <formula>0</formula>
    </cfRule>
  </conditionalFormatting>
  <conditionalFormatting sqref="F196:F197">
    <cfRule type="cellIs" dxfId="356" priority="361" stopIfTrue="1" operator="equal">
      <formula>0</formula>
    </cfRule>
  </conditionalFormatting>
  <conditionalFormatting sqref="F194:F195">
    <cfRule type="cellIs" dxfId="355" priority="360" stopIfTrue="1" operator="equal">
      <formula>0</formula>
    </cfRule>
  </conditionalFormatting>
  <conditionalFormatting sqref="F192:F193">
    <cfRule type="cellIs" dxfId="354" priority="359" stopIfTrue="1" operator="equal">
      <formula>0</formula>
    </cfRule>
  </conditionalFormatting>
  <conditionalFormatting sqref="F190:F191">
    <cfRule type="cellIs" dxfId="353" priority="358" stopIfTrue="1" operator="equal">
      <formula>0</formula>
    </cfRule>
  </conditionalFormatting>
  <conditionalFormatting sqref="F188:F189">
    <cfRule type="cellIs" dxfId="352" priority="357" stopIfTrue="1" operator="equal">
      <formula>0</formula>
    </cfRule>
  </conditionalFormatting>
  <conditionalFormatting sqref="F186:F187">
    <cfRule type="cellIs" dxfId="351" priority="356" stopIfTrue="1" operator="equal">
      <formula>0</formula>
    </cfRule>
  </conditionalFormatting>
  <conditionalFormatting sqref="F184:F185">
    <cfRule type="cellIs" dxfId="350" priority="355" stopIfTrue="1" operator="equal">
      <formula>0</formula>
    </cfRule>
  </conditionalFormatting>
  <conditionalFormatting sqref="E30:E31">
    <cfRule type="cellIs" dxfId="349" priority="333" stopIfTrue="1" operator="equal">
      <formula>0</formula>
    </cfRule>
  </conditionalFormatting>
  <conditionalFormatting sqref="F182:F183">
    <cfRule type="cellIs" dxfId="348" priority="354" stopIfTrue="1" operator="equal">
      <formula>0</formula>
    </cfRule>
  </conditionalFormatting>
  <conditionalFormatting sqref="E48:E49">
    <cfRule type="cellIs" dxfId="347" priority="324" stopIfTrue="1" operator="equal">
      <formula>0</formula>
    </cfRule>
  </conditionalFormatting>
  <conditionalFormatting sqref="F180:F181">
    <cfRule type="cellIs" dxfId="346" priority="353" stopIfTrue="1" operator="equal">
      <formula>0</formula>
    </cfRule>
  </conditionalFormatting>
  <conditionalFormatting sqref="E54:E55">
    <cfRule type="cellIs" dxfId="345" priority="321" stopIfTrue="1" operator="equal">
      <formula>0</formula>
    </cfRule>
  </conditionalFormatting>
  <conditionalFormatting sqref="F178:F179">
    <cfRule type="cellIs" dxfId="344" priority="352" stopIfTrue="1" operator="equal">
      <formula>0</formula>
    </cfRule>
  </conditionalFormatting>
  <conditionalFormatting sqref="E60:E61">
    <cfRule type="cellIs" dxfId="343" priority="318" stopIfTrue="1" operator="equal">
      <formula>0</formula>
    </cfRule>
  </conditionalFormatting>
  <conditionalFormatting sqref="F176:F177">
    <cfRule type="cellIs" dxfId="342" priority="351" stopIfTrue="1" operator="equal">
      <formula>0</formula>
    </cfRule>
  </conditionalFormatting>
  <conditionalFormatting sqref="E68:E69">
    <cfRule type="cellIs" dxfId="341" priority="315" stopIfTrue="1" operator="equal">
      <formula>0</formula>
    </cfRule>
  </conditionalFormatting>
  <conditionalFormatting sqref="F174:F175">
    <cfRule type="cellIs" dxfId="340" priority="350" stopIfTrue="1" operator="equal">
      <formula>0</formula>
    </cfRule>
  </conditionalFormatting>
  <conditionalFormatting sqref="E74:E75">
    <cfRule type="cellIs" dxfId="339" priority="312" stopIfTrue="1" operator="equal">
      <formula>0</formula>
    </cfRule>
  </conditionalFormatting>
  <conditionalFormatting sqref="F172:F173">
    <cfRule type="cellIs" dxfId="338" priority="349" stopIfTrue="1" operator="equal">
      <formula>0</formula>
    </cfRule>
  </conditionalFormatting>
  <conditionalFormatting sqref="E80:E81">
    <cfRule type="cellIs" dxfId="337" priority="309" stopIfTrue="1" operator="equal">
      <formula>0</formula>
    </cfRule>
  </conditionalFormatting>
  <conditionalFormatting sqref="E86:E87">
    <cfRule type="cellIs" dxfId="336" priority="306" stopIfTrue="1" operator="equal">
      <formula>0</formula>
    </cfRule>
  </conditionalFormatting>
  <conditionalFormatting sqref="E106:E107">
    <cfRule type="cellIs" dxfId="335" priority="296" stopIfTrue="1" operator="equal">
      <formula>0</formula>
    </cfRule>
  </conditionalFormatting>
  <conditionalFormatting sqref="E112:E113">
    <cfRule type="cellIs" dxfId="334" priority="293" stopIfTrue="1" operator="equal">
      <formula>0</formula>
    </cfRule>
  </conditionalFormatting>
  <conditionalFormatting sqref="E118:E119">
    <cfRule type="cellIs" dxfId="333" priority="290" stopIfTrue="1" operator="equal">
      <formula>0</formula>
    </cfRule>
  </conditionalFormatting>
  <conditionalFormatting sqref="E124:E125">
    <cfRule type="cellIs" dxfId="332" priority="287" stopIfTrue="1" operator="equal">
      <formula>0</formula>
    </cfRule>
  </conditionalFormatting>
  <conditionalFormatting sqref="E130:E131">
    <cfRule type="cellIs" dxfId="331" priority="284" stopIfTrue="1" operator="equal">
      <formula>0</formula>
    </cfRule>
  </conditionalFormatting>
  <conditionalFormatting sqref="E136:E137">
    <cfRule type="cellIs" dxfId="330" priority="281" stopIfTrue="1" operator="equal">
      <formula>0</formula>
    </cfRule>
  </conditionalFormatting>
  <conditionalFormatting sqref="F156:F157">
    <cfRule type="cellIs" dxfId="329" priority="341" stopIfTrue="1" operator="equal">
      <formula>0</formula>
    </cfRule>
  </conditionalFormatting>
  <conditionalFormatting sqref="E142:E143">
    <cfRule type="cellIs" dxfId="328" priority="278" stopIfTrue="1" operator="equal">
      <formula>0</formula>
    </cfRule>
  </conditionalFormatting>
  <conditionalFormatting sqref="F154:F155">
    <cfRule type="cellIs" dxfId="327" priority="340" stopIfTrue="1" operator="equal">
      <formula>0</formula>
    </cfRule>
  </conditionalFormatting>
  <conditionalFormatting sqref="E162:E163">
    <cfRule type="cellIs" dxfId="326" priority="268" stopIfTrue="1" operator="equal">
      <formula>0</formula>
    </cfRule>
  </conditionalFormatting>
  <conditionalFormatting sqref="F152:F153">
    <cfRule type="cellIs" dxfId="325" priority="339" stopIfTrue="1" operator="equal">
      <formula>0</formula>
    </cfRule>
  </conditionalFormatting>
  <conditionalFormatting sqref="E168:E169">
    <cfRule type="cellIs" dxfId="324" priority="265" stopIfTrue="1" operator="equal">
      <formula>0</formula>
    </cfRule>
  </conditionalFormatting>
  <conditionalFormatting sqref="F150:F151">
    <cfRule type="cellIs" dxfId="323" priority="338" stopIfTrue="1" operator="equal">
      <formula>0</formula>
    </cfRule>
  </conditionalFormatting>
  <conditionalFormatting sqref="E174:E175">
    <cfRule type="cellIs" dxfId="322" priority="262" stopIfTrue="1" operator="equal">
      <formula>0</formula>
    </cfRule>
  </conditionalFormatting>
  <conditionalFormatting sqref="F148:F149">
    <cfRule type="cellIs" dxfId="321" priority="337" stopIfTrue="1" operator="equal">
      <formula>0</formula>
    </cfRule>
  </conditionalFormatting>
  <conditionalFormatting sqref="E180:E181">
    <cfRule type="cellIs" dxfId="320" priority="259" stopIfTrue="1" operator="equal">
      <formula>0</formula>
    </cfRule>
  </conditionalFormatting>
  <conditionalFormatting sqref="F146:F147">
    <cfRule type="cellIs" dxfId="319" priority="336" stopIfTrue="1" operator="equal">
      <formula>0</formula>
    </cfRule>
  </conditionalFormatting>
  <conditionalFormatting sqref="E186:E187">
    <cfRule type="cellIs" dxfId="318" priority="256" stopIfTrue="1" operator="equal">
      <formula>0</formula>
    </cfRule>
  </conditionalFormatting>
  <conditionalFormatting sqref="F144:F145">
    <cfRule type="cellIs" dxfId="317" priority="335" stopIfTrue="1" operator="equal">
      <formula>0</formula>
    </cfRule>
  </conditionalFormatting>
  <conditionalFormatting sqref="E192:E193">
    <cfRule type="cellIs" dxfId="316" priority="253" stopIfTrue="1" operator="equal">
      <formula>0</formula>
    </cfRule>
  </conditionalFormatting>
  <conditionalFormatting sqref="F142:F143">
    <cfRule type="cellIs" dxfId="315" priority="334" stopIfTrue="1" operator="equal">
      <formula>0</formula>
    </cfRule>
  </conditionalFormatting>
  <conditionalFormatting sqref="E198:E199">
    <cfRule type="cellIs" dxfId="314" priority="250" stopIfTrue="1" operator="equal">
      <formula>0</formula>
    </cfRule>
  </conditionalFormatting>
  <conditionalFormatting sqref="E32:E33">
    <cfRule type="cellIs" dxfId="313" priority="332" stopIfTrue="1" operator="equal">
      <formula>0</formula>
    </cfRule>
  </conditionalFormatting>
  <conditionalFormatting sqref="E34:E35">
    <cfRule type="cellIs" dxfId="312" priority="331" stopIfTrue="1" operator="equal">
      <formula>0</formula>
    </cfRule>
  </conditionalFormatting>
  <conditionalFormatting sqref="E36:E37">
    <cfRule type="cellIs" dxfId="311" priority="330" stopIfTrue="1" operator="equal">
      <formula>0</formula>
    </cfRule>
  </conditionalFormatting>
  <conditionalFormatting sqref="E38:E39">
    <cfRule type="cellIs" dxfId="310" priority="329" stopIfTrue="1" operator="equal">
      <formula>0</formula>
    </cfRule>
  </conditionalFormatting>
  <conditionalFormatting sqref="E40:E41">
    <cfRule type="cellIs" dxfId="309" priority="328" stopIfTrue="1" operator="equal">
      <formula>0</formula>
    </cfRule>
  </conditionalFormatting>
  <conditionalFormatting sqref="E42:E43">
    <cfRule type="cellIs" dxfId="308" priority="327" stopIfTrue="1" operator="equal">
      <formula>0</formula>
    </cfRule>
  </conditionalFormatting>
  <conditionalFormatting sqref="E44:E45">
    <cfRule type="cellIs" dxfId="307" priority="326" stopIfTrue="1" operator="equal">
      <formula>0</formula>
    </cfRule>
  </conditionalFormatting>
  <conditionalFormatting sqref="E46:E47">
    <cfRule type="cellIs" dxfId="306" priority="325" stopIfTrue="1" operator="equal">
      <formula>0</formula>
    </cfRule>
  </conditionalFormatting>
  <conditionalFormatting sqref="E50:E51">
    <cfRule type="cellIs" dxfId="305" priority="323" stopIfTrue="1" operator="equal">
      <formula>0</formula>
    </cfRule>
  </conditionalFormatting>
  <conditionalFormatting sqref="E52:E53">
    <cfRule type="cellIs" dxfId="304" priority="322" stopIfTrue="1" operator="equal">
      <formula>0</formula>
    </cfRule>
  </conditionalFormatting>
  <conditionalFormatting sqref="E56:E57">
    <cfRule type="cellIs" dxfId="303" priority="320" stopIfTrue="1" operator="equal">
      <formula>0</formula>
    </cfRule>
  </conditionalFormatting>
  <conditionalFormatting sqref="E58:E59">
    <cfRule type="cellIs" dxfId="302" priority="319" stopIfTrue="1" operator="equal">
      <formula>0</formula>
    </cfRule>
  </conditionalFormatting>
  <conditionalFormatting sqref="E62:E63">
    <cfRule type="cellIs" dxfId="301" priority="317" stopIfTrue="1" operator="equal">
      <formula>0</formula>
    </cfRule>
  </conditionalFormatting>
  <conditionalFormatting sqref="E66:E67">
    <cfRule type="cellIs" dxfId="300" priority="316" stopIfTrue="1" operator="equal">
      <formula>0</formula>
    </cfRule>
  </conditionalFormatting>
  <conditionalFormatting sqref="E70:E71">
    <cfRule type="cellIs" dxfId="299" priority="314" stopIfTrue="1" operator="equal">
      <formula>0</formula>
    </cfRule>
  </conditionalFormatting>
  <conditionalFormatting sqref="E72:E73">
    <cfRule type="cellIs" dxfId="298" priority="313" stopIfTrue="1" operator="equal">
      <formula>0</formula>
    </cfRule>
  </conditionalFormatting>
  <conditionalFormatting sqref="E76:E77">
    <cfRule type="cellIs" dxfId="297" priority="311" stopIfTrue="1" operator="equal">
      <formula>0</formula>
    </cfRule>
  </conditionalFormatting>
  <conditionalFormatting sqref="E78:E79">
    <cfRule type="cellIs" dxfId="296" priority="310" stopIfTrue="1" operator="equal">
      <formula>0</formula>
    </cfRule>
  </conditionalFormatting>
  <conditionalFormatting sqref="E82:E83">
    <cfRule type="cellIs" dxfId="295" priority="308" stopIfTrue="1" operator="equal">
      <formula>0</formula>
    </cfRule>
  </conditionalFormatting>
  <conditionalFormatting sqref="E84:E85">
    <cfRule type="cellIs" dxfId="294" priority="307" stopIfTrue="1" operator="equal">
      <formula>0</formula>
    </cfRule>
  </conditionalFormatting>
  <conditionalFormatting sqref="E88:E89">
    <cfRule type="cellIs" dxfId="293" priority="305" stopIfTrue="1" operator="equal">
      <formula>0</formula>
    </cfRule>
  </conditionalFormatting>
  <conditionalFormatting sqref="E90:E91">
    <cfRule type="cellIs" dxfId="292" priority="304" stopIfTrue="1" operator="equal">
      <formula>0</formula>
    </cfRule>
  </conditionalFormatting>
  <conditionalFormatting sqref="E92:E93">
    <cfRule type="cellIs" dxfId="291" priority="303" stopIfTrue="1" operator="equal">
      <formula>0</formula>
    </cfRule>
  </conditionalFormatting>
  <conditionalFormatting sqref="E94:E95">
    <cfRule type="cellIs" dxfId="290" priority="302" stopIfTrue="1" operator="equal">
      <formula>0</formula>
    </cfRule>
  </conditionalFormatting>
  <conditionalFormatting sqref="E96:E97">
    <cfRule type="cellIs" dxfId="289" priority="301" stopIfTrue="1" operator="equal">
      <formula>0</formula>
    </cfRule>
  </conditionalFormatting>
  <conditionalFormatting sqref="E98:E99">
    <cfRule type="cellIs" dxfId="288" priority="300" stopIfTrue="1" operator="equal">
      <formula>0</formula>
    </cfRule>
  </conditionalFormatting>
  <conditionalFormatting sqref="E100:E101">
    <cfRule type="cellIs" dxfId="287" priority="299" stopIfTrue="1" operator="equal">
      <formula>0</formula>
    </cfRule>
  </conditionalFormatting>
  <conditionalFormatting sqref="E102:E103">
    <cfRule type="cellIs" dxfId="286" priority="298" stopIfTrue="1" operator="equal">
      <formula>0</formula>
    </cfRule>
  </conditionalFormatting>
  <conditionalFormatting sqref="E104:E105">
    <cfRule type="cellIs" dxfId="285" priority="297" stopIfTrue="1" operator="equal">
      <formula>0</formula>
    </cfRule>
  </conditionalFormatting>
  <conditionalFormatting sqref="E108:E109">
    <cfRule type="cellIs" dxfId="284" priority="295" stopIfTrue="1" operator="equal">
      <formula>0</formula>
    </cfRule>
  </conditionalFormatting>
  <conditionalFormatting sqref="E110:E111">
    <cfRule type="cellIs" dxfId="283" priority="294" stopIfTrue="1" operator="equal">
      <formula>0</formula>
    </cfRule>
  </conditionalFormatting>
  <conditionalFormatting sqref="E114:E115">
    <cfRule type="cellIs" dxfId="282" priority="292" stopIfTrue="1" operator="equal">
      <formula>0</formula>
    </cfRule>
  </conditionalFormatting>
  <conditionalFormatting sqref="E116:E117">
    <cfRule type="cellIs" dxfId="281" priority="291" stopIfTrue="1" operator="equal">
      <formula>0</formula>
    </cfRule>
  </conditionalFormatting>
  <conditionalFormatting sqref="E120:E121">
    <cfRule type="cellIs" dxfId="280" priority="289" stopIfTrue="1" operator="equal">
      <formula>0</formula>
    </cfRule>
  </conditionalFormatting>
  <conditionalFormatting sqref="E122:E123">
    <cfRule type="cellIs" dxfId="279" priority="288" stopIfTrue="1" operator="equal">
      <formula>0</formula>
    </cfRule>
  </conditionalFormatting>
  <conditionalFormatting sqref="E126:E127">
    <cfRule type="cellIs" dxfId="278" priority="286" stopIfTrue="1" operator="equal">
      <formula>0</formula>
    </cfRule>
  </conditionalFormatting>
  <conditionalFormatting sqref="E128:E129">
    <cfRule type="cellIs" dxfId="277" priority="285" stopIfTrue="1" operator="equal">
      <formula>0</formula>
    </cfRule>
  </conditionalFormatting>
  <conditionalFormatting sqref="E132:E133">
    <cfRule type="cellIs" dxfId="276" priority="283" stopIfTrue="1" operator="equal">
      <formula>0</formula>
    </cfRule>
  </conditionalFormatting>
  <conditionalFormatting sqref="E134:E135">
    <cfRule type="cellIs" dxfId="275" priority="282" stopIfTrue="1" operator="equal">
      <formula>0</formula>
    </cfRule>
  </conditionalFormatting>
  <conditionalFormatting sqref="E138:E139">
    <cfRule type="cellIs" dxfId="274" priority="280" stopIfTrue="1" operator="equal">
      <formula>0</formula>
    </cfRule>
  </conditionalFormatting>
  <conditionalFormatting sqref="E140:E141">
    <cfRule type="cellIs" dxfId="273" priority="279" stopIfTrue="1" operator="equal">
      <formula>0</formula>
    </cfRule>
  </conditionalFormatting>
  <conditionalFormatting sqref="E144:E145">
    <cfRule type="cellIs" dxfId="272" priority="277" stopIfTrue="1" operator="equal">
      <formula>0</formula>
    </cfRule>
  </conditionalFormatting>
  <conditionalFormatting sqref="E146:E147">
    <cfRule type="cellIs" dxfId="271" priority="276" stopIfTrue="1" operator="equal">
      <formula>0</formula>
    </cfRule>
  </conditionalFormatting>
  <conditionalFormatting sqref="E148:E149">
    <cfRule type="cellIs" dxfId="270" priority="275" stopIfTrue="1" operator="equal">
      <formula>0</formula>
    </cfRule>
  </conditionalFormatting>
  <conditionalFormatting sqref="E150:E151">
    <cfRule type="cellIs" dxfId="269" priority="274" stopIfTrue="1" operator="equal">
      <formula>0</formula>
    </cfRule>
  </conditionalFormatting>
  <conditionalFormatting sqref="E152:E153">
    <cfRule type="cellIs" dxfId="268" priority="273" stopIfTrue="1" operator="equal">
      <formula>0</formula>
    </cfRule>
  </conditionalFormatting>
  <conditionalFormatting sqref="E154:E155">
    <cfRule type="cellIs" dxfId="267" priority="272" stopIfTrue="1" operator="equal">
      <formula>0</formula>
    </cfRule>
  </conditionalFormatting>
  <conditionalFormatting sqref="E156:E157">
    <cfRule type="cellIs" dxfId="266" priority="271" stopIfTrue="1" operator="equal">
      <formula>0</formula>
    </cfRule>
  </conditionalFormatting>
  <conditionalFormatting sqref="E158:E159">
    <cfRule type="cellIs" dxfId="265" priority="270" stopIfTrue="1" operator="equal">
      <formula>0</formula>
    </cfRule>
  </conditionalFormatting>
  <conditionalFormatting sqref="E160:E161">
    <cfRule type="cellIs" dxfId="264" priority="269" stopIfTrue="1" operator="equal">
      <formula>0</formula>
    </cfRule>
  </conditionalFormatting>
  <conditionalFormatting sqref="E164:E165">
    <cfRule type="cellIs" dxfId="263" priority="267" stopIfTrue="1" operator="equal">
      <formula>0</formula>
    </cfRule>
  </conditionalFormatting>
  <conditionalFormatting sqref="E166:E167">
    <cfRule type="cellIs" dxfId="262" priority="266" stopIfTrue="1" operator="equal">
      <formula>0</formula>
    </cfRule>
  </conditionalFormatting>
  <conditionalFormatting sqref="E170:E171">
    <cfRule type="cellIs" dxfId="261" priority="264" stopIfTrue="1" operator="equal">
      <formula>0</formula>
    </cfRule>
  </conditionalFormatting>
  <conditionalFormatting sqref="E172:E173">
    <cfRule type="cellIs" dxfId="260" priority="263" stopIfTrue="1" operator="equal">
      <formula>0</formula>
    </cfRule>
  </conditionalFormatting>
  <conditionalFormatting sqref="E176:E177">
    <cfRule type="cellIs" dxfId="259" priority="261" stopIfTrue="1" operator="equal">
      <formula>0</formula>
    </cfRule>
  </conditionalFormatting>
  <conditionalFormatting sqref="E178:E179">
    <cfRule type="cellIs" dxfId="258" priority="260" stopIfTrue="1" operator="equal">
      <formula>0</formula>
    </cfRule>
  </conditionalFormatting>
  <conditionalFormatting sqref="E182:E183">
    <cfRule type="cellIs" dxfId="257" priority="258" stopIfTrue="1" operator="equal">
      <formula>0</formula>
    </cfRule>
  </conditionalFormatting>
  <conditionalFormatting sqref="E184:E185">
    <cfRule type="cellIs" dxfId="256" priority="257" stopIfTrue="1" operator="equal">
      <formula>0</formula>
    </cfRule>
  </conditionalFormatting>
  <conditionalFormatting sqref="E188:E189">
    <cfRule type="cellIs" dxfId="255" priority="255" stopIfTrue="1" operator="equal">
      <formula>0</formula>
    </cfRule>
  </conditionalFormatting>
  <conditionalFormatting sqref="E190:E191">
    <cfRule type="cellIs" dxfId="254" priority="254" stopIfTrue="1" operator="equal">
      <formula>0</formula>
    </cfRule>
  </conditionalFormatting>
  <conditionalFormatting sqref="E194:E195">
    <cfRule type="cellIs" dxfId="253" priority="252" stopIfTrue="1" operator="equal">
      <formula>0</formula>
    </cfRule>
  </conditionalFormatting>
  <conditionalFormatting sqref="E196:E197">
    <cfRule type="cellIs" dxfId="252" priority="251" stopIfTrue="1" operator="equal">
      <formula>0</formula>
    </cfRule>
  </conditionalFormatting>
  <conditionalFormatting sqref="E200:E201">
    <cfRule type="cellIs" dxfId="251" priority="249" stopIfTrue="1" operator="equal">
      <formula>0</formula>
    </cfRule>
  </conditionalFormatting>
  <conditionalFormatting sqref="E202:E203">
    <cfRule type="cellIs" dxfId="250" priority="248" stopIfTrue="1" operator="equal">
      <formula>0</formula>
    </cfRule>
  </conditionalFormatting>
  <conditionalFormatting sqref="E204:E205">
    <cfRule type="cellIs" dxfId="249" priority="247" stopIfTrue="1" operator="equal">
      <formula>0</formula>
    </cfRule>
  </conditionalFormatting>
  <conditionalFormatting sqref="E206:E207">
    <cfRule type="cellIs" dxfId="248" priority="246" stopIfTrue="1" operator="equal">
      <formula>0</formula>
    </cfRule>
  </conditionalFormatting>
  <conditionalFormatting sqref="E208:E209">
    <cfRule type="cellIs" dxfId="247" priority="245" stopIfTrue="1" operator="equal">
      <formula>0</formula>
    </cfRule>
  </conditionalFormatting>
  <conditionalFormatting sqref="E210:E211">
    <cfRule type="cellIs" dxfId="246" priority="244" stopIfTrue="1" operator="equal">
      <formula>0</formula>
    </cfRule>
  </conditionalFormatting>
  <conditionalFormatting sqref="E212:E213">
    <cfRule type="cellIs" dxfId="245" priority="243" stopIfTrue="1" operator="equal">
      <formula>0</formula>
    </cfRule>
  </conditionalFormatting>
  <conditionalFormatting sqref="E214:E215">
    <cfRule type="cellIs" dxfId="244" priority="242" stopIfTrue="1" operator="equal">
      <formula>0</formula>
    </cfRule>
  </conditionalFormatting>
  <conditionalFormatting sqref="E216:E217">
    <cfRule type="cellIs" dxfId="243" priority="241" stopIfTrue="1" operator="equal">
      <formula>0</formula>
    </cfRule>
  </conditionalFormatting>
  <conditionalFormatting sqref="E218:E219">
    <cfRule type="cellIs" dxfId="242" priority="240" stopIfTrue="1" operator="equal">
      <formula>0</formula>
    </cfRule>
  </conditionalFormatting>
  <conditionalFormatting sqref="E220:E221">
    <cfRule type="cellIs" dxfId="241" priority="239" stopIfTrue="1" operator="equal">
      <formula>0</formula>
    </cfRule>
  </conditionalFormatting>
  <conditionalFormatting sqref="E222:E223">
    <cfRule type="cellIs" dxfId="240" priority="238" stopIfTrue="1" operator="equal">
      <formula>0</formula>
    </cfRule>
  </conditionalFormatting>
  <conditionalFormatting sqref="E224:E225">
    <cfRule type="cellIs" dxfId="239" priority="237" stopIfTrue="1" operator="equal">
      <formula>0</formula>
    </cfRule>
  </conditionalFormatting>
  <conditionalFormatting sqref="E226:E227">
    <cfRule type="cellIs" dxfId="238" priority="236" stopIfTrue="1" operator="equal">
      <formula>0</formula>
    </cfRule>
  </conditionalFormatting>
  <conditionalFormatting sqref="E228:E229">
    <cfRule type="cellIs" dxfId="237" priority="235" stopIfTrue="1" operator="equal">
      <formula>0</formula>
    </cfRule>
  </conditionalFormatting>
  <conditionalFormatting sqref="E230:E231">
    <cfRule type="cellIs" dxfId="236" priority="234" stopIfTrue="1" operator="equal">
      <formula>0</formula>
    </cfRule>
  </conditionalFormatting>
  <conditionalFormatting sqref="E232:E233">
    <cfRule type="cellIs" dxfId="235" priority="233" stopIfTrue="1" operator="equal">
      <formula>0</formula>
    </cfRule>
  </conditionalFormatting>
  <conditionalFormatting sqref="E234:E235">
    <cfRule type="cellIs" dxfId="234" priority="232" stopIfTrue="1" operator="equal">
      <formula>0</formula>
    </cfRule>
  </conditionalFormatting>
  <conditionalFormatting sqref="E236:E237">
    <cfRule type="cellIs" dxfId="233" priority="231" stopIfTrue="1" operator="equal">
      <formula>0</formula>
    </cfRule>
  </conditionalFormatting>
  <conditionalFormatting sqref="E238:E239">
    <cfRule type="cellIs" dxfId="232" priority="230" stopIfTrue="1" operator="equal">
      <formula>0</formula>
    </cfRule>
  </conditionalFormatting>
  <conditionalFormatting sqref="E240:E241">
    <cfRule type="cellIs" dxfId="231" priority="229" stopIfTrue="1" operator="equal">
      <formula>0</formula>
    </cfRule>
  </conditionalFormatting>
  <conditionalFormatting sqref="E242:E243">
    <cfRule type="cellIs" dxfId="230" priority="228" stopIfTrue="1" operator="equal">
      <formula>0</formula>
    </cfRule>
  </conditionalFormatting>
  <conditionalFormatting sqref="E244:E245">
    <cfRule type="cellIs" dxfId="229" priority="227" stopIfTrue="1" operator="equal">
      <formula>0</formula>
    </cfRule>
  </conditionalFormatting>
  <conditionalFormatting sqref="E246:E247">
    <cfRule type="cellIs" dxfId="228" priority="226" stopIfTrue="1" operator="equal">
      <formula>0</formula>
    </cfRule>
  </conditionalFormatting>
  <conditionalFormatting sqref="E248:E249">
    <cfRule type="cellIs" dxfId="227" priority="225" stopIfTrue="1" operator="equal">
      <formula>0</formula>
    </cfRule>
  </conditionalFormatting>
  <conditionalFormatting sqref="E250:E251">
    <cfRule type="cellIs" dxfId="226" priority="224" stopIfTrue="1" operator="equal">
      <formula>0</formula>
    </cfRule>
  </conditionalFormatting>
  <conditionalFormatting sqref="E252:E253">
    <cfRule type="cellIs" dxfId="225" priority="223" stopIfTrue="1" operator="equal">
      <formula>0</formula>
    </cfRule>
  </conditionalFormatting>
  <conditionalFormatting sqref="E254:E255">
    <cfRule type="cellIs" dxfId="224" priority="222" stopIfTrue="1" operator="equal">
      <formula>0</formula>
    </cfRule>
  </conditionalFormatting>
  <conditionalFormatting sqref="E256:E257">
    <cfRule type="cellIs" dxfId="223" priority="221" stopIfTrue="1" operator="equal">
      <formula>0</formula>
    </cfRule>
  </conditionalFormatting>
  <conditionalFormatting sqref="E258:E259">
    <cfRule type="cellIs" dxfId="222" priority="220" stopIfTrue="1" operator="equal">
      <formula>0</formula>
    </cfRule>
  </conditionalFormatting>
  <conditionalFormatting sqref="E260:E261">
    <cfRule type="cellIs" dxfId="221" priority="219" stopIfTrue="1" operator="equal">
      <formula>0</formula>
    </cfRule>
  </conditionalFormatting>
  <conditionalFormatting sqref="E262:E263">
    <cfRule type="cellIs" dxfId="220" priority="218" stopIfTrue="1" operator="equal">
      <formula>0</formula>
    </cfRule>
  </conditionalFormatting>
  <conditionalFormatting sqref="E264:E265">
    <cfRule type="cellIs" dxfId="219" priority="217" stopIfTrue="1" operator="equal">
      <formula>0</formula>
    </cfRule>
  </conditionalFormatting>
  <conditionalFormatting sqref="E266:E267">
    <cfRule type="cellIs" dxfId="218" priority="216" stopIfTrue="1" operator="equal">
      <formula>0</formula>
    </cfRule>
  </conditionalFormatting>
  <conditionalFormatting sqref="E268:E269">
    <cfRule type="cellIs" dxfId="217" priority="215" stopIfTrue="1" operator="equal">
      <formula>0</formula>
    </cfRule>
  </conditionalFormatting>
  <conditionalFormatting sqref="E270:E271">
    <cfRule type="cellIs" dxfId="216" priority="214" stopIfTrue="1" operator="equal">
      <formula>0</formula>
    </cfRule>
  </conditionalFormatting>
  <conditionalFormatting sqref="E272:E273">
    <cfRule type="cellIs" dxfId="215" priority="213" stopIfTrue="1" operator="equal">
      <formula>0</formula>
    </cfRule>
  </conditionalFormatting>
  <conditionalFormatting sqref="E274:E275">
    <cfRule type="cellIs" dxfId="214" priority="212" stopIfTrue="1" operator="equal">
      <formula>0</formula>
    </cfRule>
  </conditionalFormatting>
  <conditionalFormatting sqref="E276:E277">
    <cfRule type="cellIs" dxfId="213" priority="211" stopIfTrue="1" operator="equal">
      <formula>0</formula>
    </cfRule>
  </conditionalFormatting>
  <conditionalFormatting sqref="E278:E279">
    <cfRule type="cellIs" dxfId="212" priority="210" stopIfTrue="1" operator="equal">
      <formula>0</formula>
    </cfRule>
  </conditionalFormatting>
  <conditionalFormatting sqref="E280:E281">
    <cfRule type="cellIs" dxfId="211" priority="209" stopIfTrue="1" operator="equal">
      <formula>0</formula>
    </cfRule>
  </conditionalFormatting>
  <conditionalFormatting sqref="E282:E283">
    <cfRule type="cellIs" dxfId="210" priority="208" stopIfTrue="1" operator="equal">
      <formula>0</formula>
    </cfRule>
  </conditionalFormatting>
  <conditionalFormatting sqref="E284:E285">
    <cfRule type="cellIs" dxfId="209" priority="207" stopIfTrue="1" operator="equal">
      <formula>0</formula>
    </cfRule>
  </conditionalFormatting>
  <conditionalFormatting sqref="E286:E287">
    <cfRule type="cellIs" dxfId="208" priority="206" stopIfTrue="1" operator="equal">
      <formula>0</formula>
    </cfRule>
  </conditionalFormatting>
  <conditionalFormatting sqref="E288:E289">
    <cfRule type="cellIs" dxfId="207" priority="205" stopIfTrue="1" operator="equal">
      <formula>0</formula>
    </cfRule>
  </conditionalFormatting>
  <conditionalFormatting sqref="E290:E291">
    <cfRule type="cellIs" dxfId="206" priority="204" stopIfTrue="1" operator="equal">
      <formula>0</formula>
    </cfRule>
  </conditionalFormatting>
  <conditionalFormatting sqref="E292:E293">
    <cfRule type="cellIs" dxfId="205" priority="203" stopIfTrue="1" operator="equal">
      <formula>0</formula>
    </cfRule>
  </conditionalFormatting>
  <conditionalFormatting sqref="E294:E295">
    <cfRule type="cellIs" dxfId="204" priority="202" stopIfTrue="1" operator="equal">
      <formula>0</formula>
    </cfRule>
  </conditionalFormatting>
  <conditionalFormatting sqref="E296:E297">
    <cfRule type="cellIs" dxfId="203" priority="201" stopIfTrue="1" operator="equal">
      <formula>0</formula>
    </cfRule>
  </conditionalFormatting>
  <conditionalFormatting sqref="E298:E299">
    <cfRule type="cellIs" dxfId="202" priority="200" stopIfTrue="1" operator="equal">
      <formula>0</formula>
    </cfRule>
  </conditionalFormatting>
  <conditionalFormatting sqref="E300:E301">
    <cfRule type="cellIs" dxfId="201" priority="199" stopIfTrue="1" operator="equal">
      <formula>0</formula>
    </cfRule>
  </conditionalFormatting>
  <conditionalFormatting sqref="E302:E303">
    <cfRule type="cellIs" dxfId="200" priority="198" stopIfTrue="1" operator="equal">
      <formula>0</formula>
    </cfRule>
  </conditionalFormatting>
  <conditionalFormatting sqref="E304:E305">
    <cfRule type="cellIs" dxfId="199" priority="197" stopIfTrue="1" operator="equal">
      <formula>0</formula>
    </cfRule>
  </conditionalFormatting>
  <conditionalFormatting sqref="G31">
    <cfRule type="cellIs" dxfId="198" priority="196" stopIfTrue="1" operator="equal">
      <formula>0</formula>
    </cfRule>
  </conditionalFormatting>
  <conditionalFormatting sqref="G33">
    <cfRule type="cellIs" dxfId="197" priority="195" stopIfTrue="1" operator="equal">
      <formula>0</formula>
    </cfRule>
  </conditionalFormatting>
  <conditionalFormatting sqref="G35">
    <cfRule type="cellIs" dxfId="196" priority="194" stopIfTrue="1" operator="equal">
      <formula>0</formula>
    </cfRule>
  </conditionalFormatting>
  <conditionalFormatting sqref="G37">
    <cfRule type="cellIs" dxfId="195" priority="193" stopIfTrue="1" operator="equal">
      <formula>0</formula>
    </cfRule>
  </conditionalFormatting>
  <conditionalFormatting sqref="G39">
    <cfRule type="cellIs" dxfId="194" priority="192" stopIfTrue="1" operator="equal">
      <formula>0</formula>
    </cfRule>
  </conditionalFormatting>
  <conditionalFormatting sqref="G41">
    <cfRule type="cellIs" dxfId="193" priority="191" stopIfTrue="1" operator="equal">
      <formula>0</formula>
    </cfRule>
  </conditionalFormatting>
  <conditionalFormatting sqref="G43">
    <cfRule type="cellIs" dxfId="192" priority="190" stopIfTrue="1" operator="equal">
      <formula>0</formula>
    </cfRule>
  </conditionalFormatting>
  <conditionalFormatting sqref="G45">
    <cfRule type="cellIs" dxfId="191" priority="189" stopIfTrue="1" operator="equal">
      <formula>0</formula>
    </cfRule>
  </conditionalFormatting>
  <conditionalFormatting sqref="G47">
    <cfRule type="cellIs" dxfId="190" priority="188" stopIfTrue="1" operator="equal">
      <formula>0</formula>
    </cfRule>
  </conditionalFormatting>
  <conditionalFormatting sqref="G49">
    <cfRule type="cellIs" dxfId="189" priority="187" stopIfTrue="1" operator="equal">
      <formula>0</formula>
    </cfRule>
  </conditionalFormatting>
  <conditionalFormatting sqref="G51">
    <cfRule type="cellIs" dxfId="188" priority="186" stopIfTrue="1" operator="equal">
      <formula>0</formula>
    </cfRule>
  </conditionalFormatting>
  <conditionalFormatting sqref="G53">
    <cfRule type="cellIs" dxfId="187" priority="185" stopIfTrue="1" operator="equal">
      <formula>0</formula>
    </cfRule>
  </conditionalFormatting>
  <conditionalFormatting sqref="G55">
    <cfRule type="cellIs" dxfId="186" priority="184" stopIfTrue="1" operator="equal">
      <formula>0</formula>
    </cfRule>
  </conditionalFormatting>
  <conditionalFormatting sqref="G57">
    <cfRule type="cellIs" dxfId="185" priority="183" stopIfTrue="1" operator="equal">
      <formula>0</formula>
    </cfRule>
  </conditionalFormatting>
  <conditionalFormatting sqref="G59">
    <cfRule type="cellIs" dxfId="184" priority="182" stopIfTrue="1" operator="equal">
      <formula>0</formula>
    </cfRule>
  </conditionalFormatting>
  <conditionalFormatting sqref="G61">
    <cfRule type="cellIs" dxfId="183" priority="181" stopIfTrue="1" operator="equal">
      <formula>0</formula>
    </cfRule>
  </conditionalFormatting>
  <conditionalFormatting sqref="G63">
    <cfRule type="cellIs" dxfId="182" priority="180" stopIfTrue="1" operator="equal">
      <formula>0</formula>
    </cfRule>
  </conditionalFormatting>
  <conditionalFormatting sqref="G67">
    <cfRule type="cellIs" dxfId="181" priority="179" stopIfTrue="1" operator="equal">
      <formula>0</formula>
    </cfRule>
  </conditionalFormatting>
  <conditionalFormatting sqref="G69">
    <cfRule type="cellIs" dxfId="180" priority="178" stopIfTrue="1" operator="equal">
      <formula>0</formula>
    </cfRule>
  </conditionalFormatting>
  <conditionalFormatting sqref="G71">
    <cfRule type="cellIs" dxfId="179" priority="177" stopIfTrue="1" operator="equal">
      <formula>0</formula>
    </cfRule>
  </conditionalFormatting>
  <conditionalFormatting sqref="G73">
    <cfRule type="cellIs" dxfId="178" priority="176" stopIfTrue="1" operator="equal">
      <formula>0</formula>
    </cfRule>
  </conditionalFormatting>
  <conditionalFormatting sqref="G75">
    <cfRule type="cellIs" dxfId="177" priority="175" stopIfTrue="1" operator="equal">
      <formula>0</formula>
    </cfRule>
  </conditionalFormatting>
  <conditionalFormatting sqref="G77">
    <cfRule type="cellIs" dxfId="176" priority="174" stopIfTrue="1" operator="equal">
      <formula>0</formula>
    </cfRule>
  </conditionalFormatting>
  <conditionalFormatting sqref="G79">
    <cfRule type="cellIs" dxfId="175" priority="173" stopIfTrue="1" operator="equal">
      <formula>0</formula>
    </cfRule>
  </conditionalFormatting>
  <conditionalFormatting sqref="G81">
    <cfRule type="cellIs" dxfId="174" priority="172" stopIfTrue="1" operator="equal">
      <formula>0</formula>
    </cfRule>
  </conditionalFormatting>
  <conditionalFormatting sqref="G83">
    <cfRule type="cellIs" dxfId="173" priority="171" stopIfTrue="1" operator="equal">
      <formula>0</formula>
    </cfRule>
  </conditionalFormatting>
  <conditionalFormatting sqref="G85">
    <cfRule type="cellIs" dxfId="172" priority="170" stopIfTrue="1" operator="equal">
      <formula>0</formula>
    </cfRule>
  </conditionalFormatting>
  <conditionalFormatting sqref="G87">
    <cfRule type="cellIs" dxfId="171" priority="169" stopIfTrue="1" operator="equal">
      <formula>0</formula>
    </cfRule>
  </conditionalFormatting>
  <conditionalFormatting sqref="G89">
    <cfRule type="cellIs" dxfId="170" priority="168" stopIfTrue="1" operator="equal">
      <formula>0</formula>
    </cfRule>
  </conditionalFormatting>
  <conditionalFormatting sqref="G91">
    <cfRule type="cellIs" dxfId="169" priority="167" stopIfTrue="1" operator="equal">
      <formula>0</formula>
    </cfRule>
  </conditionalFormatting>
  <conditionalFormatting sqref="G93">
    <cfRule type="cellIs" dxfId="168" priority="166" stopIfTrue="1" operator="equal">
      <formula>0</formula>
    </cfRule>
  </conditionalFormatting>
  <conditionalFormatting sqref="G95">
    <cfRule type="cellIs" dxfId="167" priority="165" stopIfTrue="1" operator="equal">
      <formula>0</formula>
    </cfRule>
  </conditionalFormatting>
  <conditionalFormatting sqref="G97">
    <cfRule type="cellIs" dxfId="166" priority="164" stopIfTrue="1" operator="equal">
      <formula>0</formula>
    </cfRule>
  </conditionalFormatting>
  <conditionalFormatting sqref="G99">
    <cfRule type="cellIs" dxfId="165" priority="163" stopIfTrue="1" operator="equal">
      <formula>0</formula>
    </cfRule>
  </conditionalFormatting>
  <conditionalFormatting sqref="G101">
    <cfRule type="cellIs" dxfId="164" priority="162" stopIfTrue="1" operator="equal">
      <formula>0</formula>
    </cfRule>
  </conditionalFormatting>
  <conditionalFormatting sqref="G103">
    <cfRule type="cellIs" dxfId="163" priority="161" stopIfTrue="1" operator="equal">
      <formula>0</formula>
    </cfRule>
  </conditionalFormatting>
  <conditionalFormatting sqref="G105">
    <cfRule type="cellIs" dxfId="162" priority="160" stopIfTrue="1" operator="equal">
      <formula>0</formula>
    </cfRule>
  </conditionalFormatting>
  <conditionalFormatting sqref="G107">
    <cfRule type="cellIs" dxfId="161" priority="159" stopIfTrue="1" operator="equal">
      <formula>0</formula>
    </cfRule>
  </conditionalFormatting>
  <conditionalFormatting sqref="G109">
    <cfRule type="cellIs" dxfId="160" priority="158" stopIfTrue="1" operator="equal">
      <formula>0</formula>
    </cfRule>
  </conditionalFormatting>
  <conditionalFormatting sqref="G111">
    <cfRule type="cellIs" dxfId="159" priority="157" stopIfTrue="1" operator="equal">
      <formula>0</formula>
    </cfRule>
  </conditionalFormatting>
  <conditionalFormatting sqref="G113">
    <cfRule type="cellIs" dxfId="158" priority="156" stopIfTrue="1" operator="equal">
      <formula>0</formula>
    </cfRule>
  </conditionalFormatting>
  <conditionalFormatting sqref="G115">
    <cfRule type="cellIs" dxfId="157" priority="155" stopIfTrue="1" operator="equal">
      <formula>0</formula>
    </cfRule>
  </conditionalFormatting>
  <conditionalFormatting sqref="G117">
    <cfRule type="cellIs" dxfId="156" priority="154" stopIfTrue="1" operator="equal">
      <formula>0</formula>
    </cfRule>
  </conditionalFormatting>
  <conditionalFormatting sqref="G119">
    <cfRule type="cellIs" dxfId="155" priority="153" stopIfTrue="1" operator="equal">
      <formula>0</formula>
    </cfRule>
  </conditionalFormatting>
  <conditionalFormatting sqref="G121">
    <cfRule type="cellIs" dxfId="154" priority="152" stopIfTrue="1" operator="equal">
      <formula>0</formula>
    </cfRule>
  </conditionalFormatting>
  <conditionalFormatting sqref="G123">
    <cfRule type="cellIs" dxfId="153" priority="151" stopIfTrue="1" operator="equal">
      <formula>0</formula>
    </cfRule>
  </conditionalFormatting>
  <conditionalFormatting sqref="G125">
    <cfRule type="cellIs" dxfId="152" priority="150" stopIfTrue="1" operator="equal">
      <formula>0</formula>
    </cfRule>
  </conditionalFormatting>
  <conditionalFormatting sqref="G127">
    <cfRule type="cellIs" dxfId="151" priority="149" stopIfTrue="1" operator="equal">
      <formula>0</formula>
    </cfRule>
  </conditionalFormatting>
  <conditionalFormatting sqref="G129">
    <cfRule type="cellIs" dxfId="150" priority="148" stopIfTrue="1" operator="equal">
      <formula>0</formula>
    </cfRule>
  </conditionalFormatting>
  <conditionalFormatting sqref="G131">
    <cfRule type="cellIs" dxfId="149" priority="147" stopIfTrue="1" operator="equal">
      <formula>0</formula>
    </cfRule>
  </conditionalFormatting>
  <conditionalFormatting sqref="G133">
    <cfRule type="cellIs" dxfId="148" priority="146" stopIfTrue="1" operator="equal">
      <formula>0</formula>
    </cfRule>
  </conditionalFormatting>
  <conditionalFormatting sqref="G135">
    <cfRule type="cellIs" dxfId="147" priority="145" stopIfTrue="1" operator="equal">
      <formula>0</formula>
    </cfRule>
  </conditionalFormatting>
  <conditionalFormatting sqref="G137">
    <cfRule type="cellIs" dxfId="146" priority="144" stopIfTrue="1" operator="equal">
      <formula>0</formula>
    </cfRule>
  </conditionalFormatting>
  <conditionalFormatting sqref="G139">
    <cfRule type="cellIs" dxfId="145" priority="143" stopIfTrue="1" operator="equal">
      <formula>0</formula>
    </cfRule>
  </conditionalFormatting>
  <conditionalFormatting sqref="G141">
    <cfRule type="cellIs" dxfId="144" priority="142" stopIfTrue="1" operator="equal">
      <formula>0</formula>
    </cfRule>
  </conditionalFormatting>
  <conditionalFormatting sqref="G143">
    <cfRule type="cellIs" dxfId="143" priority="141" stopIfTrue="1" operator="equal">
      <formula>0</formula>
    </cfRule>
  </conditionalFormatting>
  <conditionalFormatting sqref="G145">
    <cfRule type="cellIs" dxfId="142" priority="140" stopIfTrue="1" operator="equal">
      <formula>0</formula>
    </cfRule>
  </conditionalFormatting>
  <conditionalFormatting sqref="G147">
    <cfRule type="cellIs" dxfId="141" priority="139" stopIfTrue="1" operator="equal">
      <formula>0</formula>
    </cfRule>
  </conditionalFormatting>
  <conditionalFormatting sqref="G149">
    <cfRule type="cellIs" dxfId="140" priority="138" stopIfTrue="1" operator="equal">
      <formula>0</formula>
    </cfRule>
  </conditionalFormatting>
  <conditionalFormatting sqref="G151">
    <cfRule type="cellIs" dxfId="139" priority="137" stopIfTrue="1" operator="equal">
      <formula>0</formula>
    </cfRule>
  </conditionalFormatting>
  <conditionalFormatting sqref="G153">
    <cfRule type="cellIs" dxfId="138" priority="136" stopIfTrue="1" operator="equal">
      <formula>0</formula>
    </cfRule>
  </conditionalFormatting>
  <conditionalFormatting sqref="G155">
    <cfRule type="cellIs" dxfId="137" priority="135" stopIfTrue="1" operator="equal">
      <formula>0</formula>
    </cfRule>
  </conditionalFormatting>
  <conditionalFormatting sqref="G157">
    <cfRule type="cellIs" dxfId="136" priority="134" stopIfTrue="1" operator="equal">
      <formula>0</formula>
    </cfRule>
  </conditionalFormatting>
  <conditionalFormatting sqref="G159">
    <cfRule type="cellIs" dxfId="135" priority="133" stopIfTrue="1" operator="equal">
      <formula>0</formula>
    </cfRule>
  </conditionalFormatting>
  <conditionalFormatting sqref="G161">
    <cfRule type="cellIs" dxfId="134" priority="132" stopIfTrue="1" operator="equal">
      <formula>0</formula>
    </cfRule>
  </conditionalFormatting>
  <conditionalFormatting sqref="G163">
    <cfRule type="cellIs" dxfId="133" priority="131" stopIfTrue="1" operator="equal">
      <formula>0</formula>
    </cfRule>
  </conditionalFormatting>
  <conditionalFormatting sqref="G165">
    <cfRule type="cellIs" dxfId="132" priority="130" stopIfTrue="1" operator="equal">
      <formula>0</formula>
    </cfRule>
  </conditionalFormatting>
  <conditionalFormatting sqref="G167">
    <cfRule type="cellIs" dxfId="131" priority="129" stopIfTrue="1" operator="equal">
      <formula>0</formula>
    </cfRule>
  </conditionalFormatting>
  <conditionalFormatting sqref="G169">
    <cfRule type="cellIs" dxfId="130" priority="128" stopIfTrue="1" operator="equal">
      <formula>0</formula>
    </cfRule>
  </conditionalFormatting>
  <conditionalFormatting sqref="G171">
    <cfRule type="cellIs" dxfId="129" priority="127" stopIfTrue="1" operator="equal">
      <formula>0</formula>
    </cfRule>
  </conditionalFormatting>
  <conditionalFormatting sqref="G173">
    <cfRule type="cellIs" dxfId="128" priority="126" stopIfTrue="1" operator="equal">
      <formula>0</formula>
    </cfRule>
  </conditionalFormatting>
  <conditionalFormatting sqref="G175">
    <cfRule type="cellIs" dxfId="127" priority="125" stopIfTrue="1" operator="equal">
      <formula>0</formula>
    </cfRule>
  </conditionalFormatting>
  <conditionalFormatting sqref="G177">
    <cfRule type="cellIs" dxfId="126" priority="124" stopIfTrue="1" operator="equal">
      <formula>0</formula>
    </cfRule>
  </conditionalFormatting>
  <conditionalFormatting sqref="G179">
    <cfRule type="cellIs" dxfId="125" priority="123" stopIfTrue="1" operator="equal">
      <formula>0</formula>
    </cfRule>
  </conditionalFormatting>
  <conditionalFormatting sqref="G181">
    <cfRule type="cellIs" dxfId="124" priority="122" stopIfTrue="1" operator="equal">
      <formula>0</formula>
    </cfRule>
  </conditionalFormatting>
  <conditionalFormatting sqref="G183">
    <cfRule type="cellIs" dxfId="123" priority="121" stopIfTrue="1" operator="equal">
      <formula>0</formula>
    </cfRule>
  </conditionalFormatting>
  <conditionalFormatting sqref="G185">
    <cfRule type="cellIs" dxfId="122" priority="120" stopIfTrue="1" operator="equal">
      <formula>0</formula>
    </cfRule>
  </conditionalFormatting>
  <conditionalFormatting sqref="G187">
    <cfRule type="cellIs" dxfId="121" priority="119" stopIfTrue="1" operator="equal">
      <formula>0</formula>
    </cfRule>
  </conditionalFormatting>
  <conditionalFormatting sqref="G189">
    <cfRule type="cellIs" dxfId="120" priority="118" stopIfTrue="1" operator="equal">
      <formula>0</formula>
    </cfRule>
  </conditionalFormatting>
  <conditionalFormatting sqref="G191">
    <cfRule type="cellIs" dxfId="119" priority="117" stopIfTrue="1" operator="equal">
      <formula>0</formula>
    </cfRule>
  </conditionalFormatting>
  <conditionalFormatting sqref="G193">
    <cfRule type="cellIs" dxfId="118" priority="116" stopIfTrue="1" operator="equal">
      <formula>0</formula>
    </cfRule>
  </conditionalFormatting>
  <conditionalFormatting sqref="G195">
    <cfRule type="cellIs" dxfId="117" priority="115" stopIfTrue="1" operator="equal">
      <formula>0</formula>
    </cfRule>
  </conditionalFormatting>
  <conditionalFormatting sqref="G197">
    <cfRule type="cellIs" dxfId="116" priority="114" stopIfTrue="1" operator="equal">
      <formula>0</formula>
    </cfRule>
  </conditionalFormatting>
  <conditionalFormatting sqref="G199">
    <cfRule type="cellIs" dxfId="115" priority="113" stopIfTrue="1" operator="equal">
      <formula>0</formula>
    </cfRule>
  </conditionalFormatting>
  <conditionalFormatting sqref="G201">
    <cfRule type="cellIs" dxfId="114" priority="112" stopIfTrue="1" operator="equal">
      <formula>0</formula>
    </cfRule>
  </conditionalFormatting>
  <conditionalFormatting sqref="G203">
    <cfRule type="cellIs" dxfId="113" priority="111" stopIfTrue="1" operator="equal">
      <formula>0</formula>
    </cfRule>
  </conditionalFormatting>
  <conditionalFormatting sqref="G205">
    <cfRule type="cellIs" dxfId="112" priority="110" stopIfTrue="1" operator="equal">
      <formula>0</formula>
    </cfRule>
  </conditionalFormatting>
  <conditionalFormatting sqref="G207">
    <cfRule type="cellIs" dxfId="111" priority="109" stopIfTrue="1" operator="equal">
      <formula>0</formula>
    </cfRule>
  </conditionalFormatting>
  <conditionalFormatting sqref="G209">
    <cfRule type="cellIs" dxfId="110" priority="108" stopIfTrue="1" operator="equal">
      <formula>0</formula>
    </cfRule>
  </conditionalFormatting>
  <conditionalFormatting sqref="G211">
    <cfRule type="cellIs" dxfId="109" priority="107" stopIfTrue="1" operator="equal">
      <formula>0</formula>
    </cfRule>
  </conditionalFormatting>
  <conditionalFormatting sqref="G213">
    <cfRule type="cellIs" dxfId="108" priority="106" stopIfTrue="1" operator="equal">
      <formula>0</formula>
    </cfRule>
  </conditionalFormatting>
  <conditionalFormatting sqref="G215">
    <cfRule type="cellIs" dxfId="107" priority="105" stopIfTrue="1" operator="equal">
      <formula>0</formula>
    </cfRule>
  </conditionalFormatting>
  <conditionalFormatting sqref="G217">
    <cfRule type="cellIs" dxfId="106" priority="104" stopIfTrue="1" operator="equal">
      <formula>0</formula>
    </cfRule>
  </conditionalFormatting>
  <conditionalFormatting sqref="G219">
    <cfRule type="cellIs" dxfId="105" priority="103" stopIfTrue="1" operator="equal">
      <formula>0</formula>
    </cfRule>
  </conditionalFormatting>
  <conditionalFormatting sqref="G221">
    <cfRule type="cellIs" dxfId="104" priority="102" stopIfTrue="1" operator="equal">
      <formula>0</formula>
    </cfRule>
  </conditionalFormatting>
  <conditionalFormatting sqref="G223">
    <cfRule type="cellIs" dxfId="103" priority="101" stopIfTrue="1" operator="equal">
      <formula>0</formula>
    </cfRule>
  </conditionalFormatting>
  <conditionalFormatting sqref="G225">
    <cfRule type="cellIs" dxfId="102" priority="100" stopIfTrue="1" operator="equal">
      <formula>0</formula>
    </cfRule>
  </conditionalFormatting>
  <conditionalFormatting sqref="G227">
    <cfRule type="cellIs" dxfId="101" priority="99" stopIfTrue="1" operator="equal">
      <formula>0</formula>
    </cfRule>
  </conditionalFormatting>
  <conditionalFormatting sqref="G229">
    <cfRule type="cellIs" dxfId="100" priority="98" stopIfTrue="1" operator="equal">
      <formula>0</formula>
    </cfRule>
  </conditionalFormatting>
  <conditionalFormatting sqref="G231">
    <cfRule type="cellIs" dxfId="99" priority="97" stopIfTrue="1" operator="equal">
      <formula>0</formula>
    </cfRule>
  </conditionalFormatting>
  <conditionalFormatting sqref="G233">
    <cfRule type="cellIs" dxfId="98" priority="96" stopIfTrue="1" operator="equal">
      <formula>0</formula>
    </cfRule>
  </conditionalFormatting>
  <conditionalFormatting sqref="G235">
    <cfRule type="cellIs" dxfId="97" priority="95" stopIfTrue="1" operator="equal">
      <formula>0</formula>
    </cfRule>
  </conditionalFormatting>
  <conditionalFormatting sqref="G237">
    <cfRule type="cellIs" dxfId="96" priority="94" stopIfTrue="1" operator="equal">
      <formula>0</formula>
    </cfRule>
  </conditionalFormatting>
  <conditionalFormatting sqref="G239">
    <cfRule type="cellIs" dxfId="95" priority="93" stopIfTrue="1" operator="equal">
      <formula>0</formula>
    </cfRule>
  </conditionalFormatting>
  <conditionalFormatting sqref="G241">
    <cfRule type="cellIs" dxfId="94" priority="92" stopIfTrue="1" operator="equal">
      <formula>0</formula>
    </cfRule>
  </conditionalFormatting>
  <conditionalFormatting sqref="G243">
    <cfRule type="cellIs" dxfId="93" priority="91" stopIfTrue="1" operator="equal">
      <formula>0</formula>
    </cfRule>
  </conditionalFormatting>
  <conditionalFormatting sqref="G245">
    <cfRule type="cellIs" dxfId="92" priority="90" stopIfTrue="1" operator="equal">
      <formula>0</formula>
    </cfRule>
  </conditionalFormatting>
  <conditionalFormatting sqref="G247">
    <cfRule type="cellIs" dxfId="91" priority="89" stopIfTrue="1" operator="equal">
      <formula>0</formula>
    </cfRule>
  </conditionalFormatting>
  <conditionalFormatting sqref="G249">
    <cfRule type="cellIs" dxfId="90" priority="88" stopIfTrue="1" operator="equal">
      <formula>0</formula>
    </cfRule>
  </conditionalFormatting>
  <conditionalFormatting sqref="G251">
    <cfRule type="cellIs" dxfId="89" priority="87" stopIfTrue="1" operator="equal">
      <formula>0</formula>
    </cfRule>
  </conditionalFormatting>
  <conditionalFormatting sqref="G253">
    <cfRule type="cellIs" dxfId="88" priority="86" stopIfTrue="1" operator="equal">
      <formula>0</formula>
    </cfRule>
  </conditionalFormatting>
  <conditionalFormatting sqref="G255">
    <cfRule type="cellIs" dxfId="87" priority="85" stopIfTrue="1" operator="equal">
      <formula>0</formula>
    </cfRule>
  </conditionalFormatting>
  <conditionalFormatting sqref="G257">
    <cfRule type="cellIs" dxfId="86" priority="84" stopIfTrue="1" operator="equal">
      <formula>0</formula>
    </cfRule>
  </conditionalFormatting>
  <conditionalFormatting sqref="G259">
    <cfRule type="cellIs" dxfId="85" priority="83" stopIfTrue="1" operator="equal">
      <formula>0</formula>
    </cfRule>
  </conditionalFormatting>
  <conditionalFormatting sqref="G261">
    <cfRule type="cellIs" dxfId="84" priority="82" stopIfTrue="1" operator="equal">
      <formula>0</formula>
    </cfRule>
  </conditionalFormatting>
  <conditionalFormatting sqref="G263">
    <cfRule type="cellIs" dxfId="83" priority="81" stopIfTrue="1" operator="equal">
      <formula>0</formula>
    </cfRule>
  </conditionalFormatting>
  <conditionalFormatting sqref="G265">
    <cfRule type="cellIs" dxfId="82" priority="80" stopIfTrue="1" operator="equal">
      <formula>0</formula>
    </cfRule>
  </conditionalFormatting>
  <conditionalFormatting sqref="G267">
    <cfRule type="cellIs" dxfId="81" priority="79" stopIfTrue="1" operator="equal">
      <formula>0</formula>
    </cfRule>
  </conditionalFormatting>
  <conditionalFormatting sqref="G269">
    <cfRule type="cellIs" dxfId="80" priority="78" stopIfTrue="1" operator="equal">
      <formula>0</formula>
    </cfRule>
  </conditionalFormatting>
  <conditionalFormatting sqref="G271">
    <cfRule type="cellIs" dxfId="79" priority="77" stopIfTrue="1" operator="equal">
      <formula>0</formula>
    </cfRule>
  </conditionalFormatting>
  <conditionalFormatting sqref="G273">
    <cfRule type="cellIs" dxfId="78" priority="76" stopIfTrue="1" operator="equal">
      <formula>0</formula>
    </cfRule>
  </conditionalFormatting>
  <conditionalFormatting sqref="G275">
    <cfRule type="cellIs" dxfId="77" priority="75" stopIfTrue="1" operator="equal">
      <formula>0</formula>
    </cfRule>
  </conditionalFormatting>
  <conditionalFormatting sqref="G277">
    <cfRule type="cellIs" dxfId="76" priority="74" stopIfTrue="1" operator="equal">
      <formula>0</formula>
    </cfRule>
  </conditionalFormatting>
  <conditionalFormatting sqref="G279">
    <cfRule type="cellIs" dxfId="75" priority="73" stopIfTrue="1" operator="equal">
      <formula>0</formula>
    </cfRule>
  </conditionalFormatting>
  <conditionalFormatting sqref="G281">
    <cfRule type="cellIs" dxfId="74" priority="72" stopIfTrue="1" operator="equal">
      <formula>0</formula>
    </cfRule>
  </conditionalFormatting>
  <conditionalFormatting sqref="G283">
    <cfRule type="cellIs" dxfId="73" priority="71" stopIfTrue="1" operator="equal">
      <formula>0</formula>
    </cfRule>
  </conditionalFormatting>
  <conditionalFormatting sqref="G285">
    <cfRule type="cellIs" dxfId="72" priority="70" stopIfTrue="1" operator="equal">
      <formula>0</formula>
    </cfRule>
  </conditionalFormatting>
  <conditionalFormatting sqref="G287">
    <cfRule type="cellIs" dxfId="71" priority="69" stopIfTrue="1" operator="equal">
      <formula>0</formula>
    </cfRule>
  </conditionalFormatting>
  <conditionalFormatting sqref="G289">
    <cfRule type="cellIs" dxfId="70" priority="68" stopIfTrue="1" operator="equal">
      <formula>0</formula>
    </cfRule>
  </conditionalFormatting>
  <conditionalFormatting sqref="G291">
    <cfRule type="cellIs" dxfId="69" priority="67" stopIfTrue="1" operator="equal">
      <formula>0</formula>
    </cfRule>
  </conditionalFormatting>
  <conditionalFormatting sqref="G293">
    <cfRule type="cellIs" dxfId="68" priority="66" stopIfTrue="1" operator="equal">
      <formula>0</formula>
    </cfRule>
  </conditionalFormatting>
  <conditionalFormatting sqref="G295">
    <cfRule type="cellIs" dxfId="67" priority="65" stopIfTrue="1" operator="equal">
      <formula>0</formula>
    </cfRule>
  </conditionalFormatting>
  <conditionalFormatting sqref="G297">
    <cfRule type="cellIs" dxfId="66" priority="64" stopIfTrue="1" operator="equal">
      <formula>0</formula>
    </cfRule>
  </conditionalFormatting>
  <conditionalFormatting sqref="G299">
    <cfRule type="cellIs" dxfId="65" priority="63" stopIfTrue="1" operator="equal">
      <formula>0</formula>
    </cfRule>
  </conditionalFormatting>
  <conditionalFormatting sqref="G301">
    <cfRule type="cellIs" dxfId="64" priority="62" stopIfTrue="1" operator="equal">
      <formula>0</formula>
    </cfRule>
  </conditionalFormatting>
  <conditionalFormatting sqref="G303">
    <cfRule type="cellIs" dxfId="63" priority="61" stopIfTrue="1" operator="equal">
      <formula>0</formula>
    </cfRule>
  </conditionalFormatting>
  <conditionalFormatting sqref="G305">
    <cfRule type="cellIs" dxfId="62" priority="60" stopIfTrue="1" operator="equal">
      <formula>0</formula>
    </cfRule>
  </conditionalFormatting>
  <conditionalFormatting sqref="G307">
    <cfRule type="cellIs" dxfId="61" priority="59" stopIfTrue="1" operator="equal">
      <formula>0</formula>
    </cfRule>
  </conditionalFormatting>
  <conditionalFormatting sqref="G309">
    <cfRule type="cellIs" dxfId="60" priority="58" stopIfTrue="1" operator="equal">
      <formula>0</formula>
    </cfRule>
  </conditionalFormatting>
  <conditionalFormatting sqref="Z19 Z21">
    <cfRule type="cellIs" dxfId="59" priority="57" stopIfTrue="1" operator="equal">
      <formula>0</formula>
    </cfRule>
  </conditionalFormatting>
  <conditionalFormatting sqref="Z20">
    <cfRule type="cellIs" dxfId="58" priority="56" stopIfTrue="1" operator="equal">
      <formula>0</formula>
    </cfRule>
  </conditionalFormatting>
  <conditionalFormatting sqref="AA28:AA63 AA66:AA304">
    <cfRule type="cellIs" dxfId="57" priority="55" stopIfTrue="1" operator="equal">
      <formula>0</formula>
    </cfRule>
  </conditionalFormatting>
  <conditionalFormatting sqref="AB19:AD19 AB21:AD21">
    <cfRule type="cellIs" dxfId="56" priority="54" stopIfTrue="1" operator="equal">
      <formula>0</formula>
    </cfRule>
  </conditionalFormatting>
  <conditionalFormatting sqref="AB20:AD20">
    <cfRule type="cellIs" dxfId="55" priority="53" stopIfTrue="1" operator="equal">
      <formula>0</formula>
    </cfRule>
  </conditionalFormatting>
  <conditionalFormatting sqref="AF19:AH19 AF21:AH21">
    <cfRule type="cellIs" dxfId="54" priority="52" stopIfTrue="1" operator="equal">
      <formula>0</formula>
    </cfRule>
  </conditionalFormatting>
  <conditionalFormatting sqref="AF20:AH20">
    <cfRule type="cellIs" dxfId="53" priority="51" stopIfTrue="1" operator="equal">
      <formula>0</formula>
    </cfRule>
  </conditionalFormatting>
  <conditionalFormatting sqref="AG28:AG63 AG66:AG304">
    <cfRule type="cellIs" dxfId="52" priority="50" stopIfTrue="1" operator="equal">
      <formula>0</formula>
    </cfRule>
  </conditionalFormatting>
  <conditionalFormatting sqref="AC28:AC63 AC66:AC304">
    <cfRule type="cellIs" dxfId="51" priority="49" stopIfTrue="1" operator="equal">
      <formula>0</formula>
    </cfRule>
  </conditionalFormatting>
  <conditionalFormatting sqref="AE28:AE63 AE66:AE304">
    <cfRule type="cellIs" dxfId="50" priority="48" stopIfTrue="1" operator="equal">
      <formula>0</formula>
    </cfRule>
  </conditionalFormatting>
  <conditionalFormatting sqref="AI28:AI63 AI66:AI304">
    <cfRule type="cellIs" dxfId="49" priority="47" stopIfTrue="1" operator="equal">
      <formula>0</formula>
    </cfRule>
  </conditionalFormatting>
  <conditionalFormatting sqref="AJ19:AL19 AJ21:AL21">
    <cfRule type="cellIs" dxfId="48" priority="46" stopIfTrue="1" operator="equal">
      <formula>0</formula>
    </cfRule>
  </conditionalFormatting>
  <conditionalFormatting sqref="AJ20:AL20">
    <cfRule type="cellIs" dxfId="47" priority="45" stopIfTrue="1" operator="equal">
      <formula>0</formula>
    </cfRule>
  </conditionalFormatting>
  <conditionalFormatting sqref="AK28:AK63 AK66:AK304">
    <cfRule type="cellIs" dxfId="46" priority="44" stopIfTrue="1" operator="equal">
      <formula>0</formula>
    </cfRule>
  </conditionalFormatting>
  <conditionalFormatting sqref="AM28:AM63 AM66:AM304">
    <cfRule type="cellIs" dxfId="45" priority="43" stopIfTrue="1" operator="equal">
      <formula>0</formula>
    </cfRule>
  </conditionalFormatting>
  <conditionalFormatting sqref="AN19:AP19 AN21:AP21">
    <cfRule type="cellIs" dxfId="44" priority="42" stopIfTrue="1" operator="equal">
      <formula>0</formula>
    </cfRule>
  </conditionalFormatting>
  <conditionalFormatting sqref="AN20:AP20">
    <cfRule type="cellIs" dxfId="43" priority="41" stopIfTrue="1" operator="equal">
      <formula>0</formula>
    </cfRule>
  </conditionalFormatting>
  <conditionalFormatting sqref="AR19:AT19 AR21:AT21">
    <cfRule type="cellIs" dxfId="42" priority="40" stopIfTrue="1" operator="equal">
      <formula>0</formula>
    </cfRule>
  </conditionalFormatting>
  <conditionalFormatting sqref="AR20:AT20">
    <cfRule type="cellIs" dxfId="41" priority="39" stopIfTrue="1" operator="equal">
      <formula>0</formula>
    </cfRule>
  </conditionalFormatting>
  <conditionalFormatting sqref="AS28:AS63 AS66:AS304">
    <cfRule type="cellIs" dxfId="40" priority="38" stopIfTrue="1" operator="equal">
      <formula>0</formula>
    </cfRule>
  </conditionalFormatting>
  <conditionalFormatting sqref="AO28:AO63 AO66:AO304">
    <cfRule type="cellIs" dxfId="39" priority="37" stopIfTrue="1" operator="equal">
      <formula>0</formula>
    </cfRule>
  </conditionalFormatting>
  <conditionalFormatting sqref="AQ28:AQ63 AQ66:AQ304">
    <cfRule type="cellIs" dxfId="38" priority="36" stopIfTrue="1" operator="equal">
      <formula>0</formula>
    </cfRule>
  </conditionalFormatting>
  <conditionalFormatting sqref="M19 M21">
    <cfRule type="cellIs" dxfId="37" priority="35" stopIfTrue="1" operator="equal">
      <formula>0</formula>
    </cfRule>
  </conditionalFormatting>
  <conditionalFormatting sqref="M20">
    <cfRule type="cellIs" dxfId="36" priority="34" stopIfTrue="1" operator="equal">
      <formula>0</formula>
    </cfRule>
  </conditionalFormatting>
  <conditionalFormatting sqref="N19 N21">
    <cfRule type="cellIs" dxfId="35" priority="33" stopIfTrue="1" operator="equal">
      <formula>0</formula>
    </cfRule>
  </conditionalFormatting>
  <conditionalFormatting sqref="N20">
    <cfRule type="cellIs" dxfId="34" priority="32" stopIfTrue="1" operator="equal">
      <formula>0</formula>
    </cfRule>
  </conditionalFormatting>
  <conditionalFormatting sqref="O19 O21">
    <cfRule type="cellIs" dxfId="33" priority="31" stopIfTrue="1" operator="equal">
      <formula>0</formula>
    </cfRule>
  </conditionalFormatting>
  <conditionalFormatting sqref="O20">
    <cfRule type="cellIs" dxfId="32" priority="30" stopIfTrue="1" operator="equal">
      <formula>0</formula>
    </cfRule>
  </conditionalFormatting>
  <conditionalFormatting sqref="P19 P21">
    <cfRule type="cellIs" dxfId="31" priority="29" stopIfTrue="1" operator="equal">
      <formula>0</formula>
    </cfRule>
  </conditionalFormatting>
  <conditionalFormatting sqref="P20">
    <cfRule type="cellIs" dxfId="30" priority="28" stopIfTrue="1" operator="equal">
      <formula>0</formula>
    </cfRule>
  </conditionalFormatting>
  <conditionalFormatting sqref="Q19 Q21">
    <cfRule type="cellIs" dxfId="29" priority="27" stopIfTrue="1" operator="equal">
      <formula>0</formula>
    </cfRule>
  </conditionalFormatting>
  <conditionalFormatting sqref="Q20">
    <cfRule type="cellIs" dxfId="28" priority="26" stopIfTrue="1" operator="equal">
      <formula>0</formula>
    </cfRule>
  </conditionalFormatting>
  <conditionalFormatting sqref="U28:U63 U66:U304">
    <cfRule type="cellIs" dxfId="27" priority="25" stopIfTrue="1" operator="equal">
      <formula>0</formula>
    </cfRule>
  </conditionalFormatting>
  <conditionalFormatting sqref="W28:W63 W66:W304">
    <cfRule type="cellIs" dxfId="26" priority="24" stopIfTrue="1" operator="equal">
      <formula>0</formula>
    </cfRule>
  </conditionalFormatting>
  <conditionalFormatting sqref="Y28:Y63 Y66:Y304">
    <cfRule type="cellIs" dxfId="25" priority="23" stopIfTrue="1" operator="equal">
      <formula>0</formula>
    </cfRule>
  </conditionalFormatting>
  <conditionalFormatting sqref="C28:C63 C66:C304">
    <cfRule type="cellIs" dxfId="24" priority="22" stopIfTrue="1" operator="equal">
      <formula>0</formula>
    </cfRule>
  </conditionalFormatting>
  <conditionalFormatting sqref="C305">
    <cfRule type="cellIs" dxfId="23" priority="21" stopIfTrue="1" operator="equal">
      <formula>0</formula>
    </cfRule>
  </conditionalFormatting>
  <conditionalFormatting sqref="R19 R21">
    <cfRule type="cellIs" dxfId="22" priority="20" stopIfTrue="1" operator="equal">
      <formula>0</formula>
    </cfRule>
  </conditionalFormatting>
  <conditionalFormatting sqref="R20">
    <cfRule type="cellIs" dxfId="21" priority="19" stopIfTrue="1" operator="equal">
      <formula>0</formula>
    </cfRule>
  </conditionalFormatting>
  <conditionalFormatting sqref="D64:D65 F64:F65 T64:T65 AU64:BP65">
    <cfRule type="cellIs" dxfId="20" priority="18" stopIfTrue="1" operator="equal">
      <formula>0</formula>
    </cfRule>
  </conditionalFormatting>
  <conditionalFormatting sqref="T64:T65">
    <cfRule type="cellIs" dxfId="19" priority="17" stopIfTrue="1" operator="equal">
      <formula>FALSE</formula>
    </cfRule>
  </conditionalFormatting>
  <conditionalFormatting sqref="E64:E65">
    <cfRule type="cellIs" dxfId="18" priority="16" stopIfTrue="1" operator="equal">
      <formula>0</formula>
    </cfRule>
  </conditionalFormatting>
  <conditionalFormatting sqref="G65">
    <cfRule type="cellIs" dxfId="17" priority="15" stopIfTrue="1" operator="equal">
      <formula>0</formula>
    </cfRule>
  </conditionalFormatting>
  <conditionalFormatting sqref="AA64:AA65">
    <cfRule type="cellIs" dxfId="16" priority="14" stopIfTrue="1" operator="equal">
      <formula>0</formula>
    </cfRule>
  </conditionalFormatting>
  <conditionalFormatting sqref="AG64:AG65">
    <cfRule type="cellIs" dxfId="15" priority="13" stopIfTrue="1" operator="equal">
      <formula>0</formula>
    </cfRule>
  </conditionalFormatting>
  <conditionalFormatting sqref="AC64:AC65">
    <cfRule type="cellIs" dxfId="14" priority="12" stopIfTrue="1" operator="equal">
      <formula>0</formula>
    </cfRule>
  </conditionalFormatting>
  <conditionalFormatting sqref="AE64:AE65">
    <cfRule type="cellIs" dxfId="13" priority="11" stopIfTrue="1" operator="equal">
      <formula>0</formula>
    </cfRule>
  </conditionalFormatting>
  <conditionalFormatting sqref="AI64:AI65">
    <cfRule type="cellIs" dxfId="12" priority="10" stopIfTrue="1" operator="equal">
      <formula>0</formula>
    </cfRule>
  </conditionalFormatting>
  <conditionalFormatting sqref="AK64:AK65">
    <cfRule type="cellIs" dxfId="11" priority="9" stopIfTrue="1" operator="equal">
      <formula>0</formula>
    </cfRule>
  </conditionalFormatting>
  <conditionalFormatting sqref="AM64:AM65">
    <cfRule type="cellIs" dxfId="10" priority="8" stopIfTrue="1" operator="equal">
      <formula>0</formula>
    </cfRule>
  </conditionalFormatting>
  <conditionalFormatting sqref="AS64:AS65">
    <cfRule type="cellIs" dxfId="9" priority="7" stopIfTrue="1" operator="equal">
      <formula>0</formula>
    </cfRule>
  </conditionalFormatting>
  <conditionalFormatting sqref="AO64:AO65">
    <cfRule type="cellIs" dxfId="8" priority="6" stopIfTrue="1" operator="equal">
      <formula>0</formula>
    </cfRule>
  </conditionalFormatting>
  <conditionalFormatting sqref="AQ64:AQ65">
    <cfRule type="cellIs" dxfId="7" priority="5" stopIfTrue="1" operator="equal">
      <formula>0</formula>
    </cfRule>
  </conditionalFormatting>
  <conditionalFormatting sqref="U64:U65">
    <cfRule type="cellIs" dxfId="6" priority="4" stopIfTrue="1" operator="equal">
      <formula>0</formula>
    </cfRule>
  </conditionalFormatting>
  <conditionalFormatting sqref="W64:W65">
    <cfRule type="cellIs" dxfId="5" priority="3" stopIfTrue="1" operator="equal">
      <formula>0</formula>
    </cfRule>
  </conditionalFormatting>
  <conditionalFormatting sqref="Y64:Y65">
    <cfRule type="cellIs" dxfId="4" priority="2" stopIfTrue="1" operator="equal">
      <formula>0</formula>
    </cfRule>
  </conditionalFormatting>
  <conditionalFormatting sqref="C64:C65">
    <cfRule type="cellIs" dxfId="3" priority="1" stopIfTrue="1" operator="equal">
      <formula>0</formula>
    </cfRule>
  </conditionalFormatting>
  <printOptions horizontalCentered="1"/>
  <pageMargins left="0.23622047244094491" right="0.23622047244094491" top="0.74803149606299213" bottom="0.74803149606299213" header="0.31496062992125984" footer="0.31496062992125984"/>
  <pageSetup paperSize="8" scale="2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J103"/>
  <sheetViews>
    <sheetView showGridLines="0" view="pageBreakPreview" zoomScale="70" zoomScaleNormal="85" zoomScaleSheetLayoutView="70" zoomScalePageLayoutView="80" workbookViewId="0">
      <selection activeCell="P69" sqref="P69"/>
    </sheetView>
  </sheetViews>
  <sheetFormatPr defaultColWidth="9.140625" defaultRowHeight="15"/>
  <cols>
    <col min="1" max="1" width="2.42578125" style="14" customWidth="1"/>
    <col min="2" max="2" width="41.85546875" style="33" customWidth="1"/>
    <col min="3" max="4" width="11.28515625" style="33" customWidth="1"/>
    <col min="5" max="5" width="14.5703125" style="33" customWidth="1"/>
    <col min="6" max="6" width="15.85546875" style="14" customWidth="1"/>
    <col min="7" max="7" width="11.85546875" style="14" customWidth="1"/>
    <col min="8" max="8" width="12.5703125" style="14" customWidth="1"/>
    <col min="9" max="9" width="13.85546875" style="14" customWidth="1"/>
    <col min="10" max="10" width="12" style="14" customWidth="1"/>
    <col min="11" max="11" width="15.5703125" style="14" customWidth="1"/>
    <col min="12" max="12" width="10.28515625" style="14" customWidth="1"/>
    <col min="13" max="13" width="13" style="14" customWidth="1"/>
    <col min="14" max="14" width="9.28515625" style="14" customWidth="1"/>
    <col min="15" max="15" width="10.140625" style="14" customWidth="1"/>
    <col min="16" max="16" width="9" style="14" customWidth="1"/>
    <col min="17" max="18" width="9.28515625" style="14" customWidth="1"/>
    <col min="19" max="19" width="17" style="14" customWidth="1"/>
    <col min="20" max="21" width="13.42578125" style="14" customWidth="1"/>
    <col min="22" max="22" width="15.140625" style="14" customWidth="1"/>
    <col min="23" max="24" width="12.42578125" style="14" customWidth="1"/>
    <col min="25" max="25" width="11.85546875" style="14" customWidth="1"/>
    <col min="26" max="26" width="11" style="14" hidden="1" customWidth="1"/>
    <col min="27" max="27" width="11.85546875" style="14" customWidth="1"/>
    <col min="28" max="28" width="14.7109375" style="14" customWidth="1"/>
    <col min="29" max="29" width="2.140625" style="14" customWidth="1"/>
    <col min="30" max="32" width="9.140625" style="14"/>
    <col min="33" max="33" width="20.7109375" style="14" customWidth="1"/>
    <col min="34" max="34" width="11.42578125" style="14" customWidth="1"/>
    <col min="35" max="36" width="10.28515625" style="14" bestFit="1" customWidth="1"/>
    <col min="37" max="16384" width="9.140625" style="14"/>
  </cols>
  <sheetData>
    <row r="1" spans="2:28" ht="40.5" customHeight="1">
      <c r="B1" s="374" t="s">
        <v>764</v>
      </c>
      <c r="C1" s="375"/>
      <c r="D1" s="375"/>
      <c r="E1" s="375"/>
      <c r="F1" s="375"/>
      <c r="G1" s="198"/>
      <c r="H1" s="198"/>
      <c r="I1" s="198"/>
      <c r="J1" s="198"/>
      <c r="K1" s="198"/>
      <c r="L1" s="198"/>
      <c r="M1" s="198"/>
      <c r="N1" s="198"/>
      <c r="O1" s="198"/>
      <c r="P1" s="198"/>
      <c r="Q1" s="198"/>
      <c r="R1" s="198"/>
      <c r="S1" s="198"/>
      <c r="T1" s="198"/>
      <c r="U1" s="198"/>
      <c r="V1" s="198"/>
      <c r="W1" s="198"/>
      <c r="X1" s="198"/>
      <c r="Y1" s="198"/>
      <c r="Z1" s="198"/>
      <c r="AA1" s="198"/>
      <c r="AB1" s="199"/>
    </row>
    <row r="2" spans="2:28" s="376" customFormat="1" ht="24.95" customHeight="1">
      <c r="B2" s="523" t="str">
        <f>Orçamento!B4</f>
        <v>PREFEITURA: Prefeitura Municipal de Pouso Alegre</v>
      </c>
      <c r="C2" s="377"/>
      <c r="D2" s="377"/>
      <c r="E2" s="377"/>
      <c r="F2" s="377"/>
      <c r="G2" s="378"/>
      <c r="H2" s="378"/>
      <c r="I2" s="378"/>
      <c r="J2" s="378"/>
      <c r="K2" s="378"/>
      <c r="L2" s="378"/>
      <c r="M2" s="378"/>
      <c r="N2" s="378"/>
      <c r="O2" s="378"/>
      <c r="P2" s="378"/>
      <c r="Q2" s="378"/>
      <c r="R2" s="378"/>
      <c r="S2" s="378"/>
      <c r="T2" s="378"/>
      <c r="U2" s="378"/>
      <c r="V2" s="378"/>
      <c r="W2" s="378"/>
      <c r="X2" s="378"/>
      <c r="Y2" s="378"/>
      <c r="Z2" s="378"/>
      <c r="AA2" s="378"/>
      <c r="AB2" s="379"/>
    </row>
    <row r="3" spans="2:28" s="376" customFormat="1" ht="24.95" customHeight="1">
      <c r="B3" s="523" t="str">
        <f>Orçamento!B5</f>
        <v>OBRA: Pavimentação e Drenagem da Via Noroeste 1º Etapa</v>
      </c>
      <c r="C3" s="377"/>
      <c r="D3" s="377"/>
      <c r="E3" s="377"/>
      <c r="F3" s="377"/>
      <c r="G3" s="378"/>
      <c r="H3" s="378"/>
      <c r="I3" s="378"/>
      <c r="J3" s="378"/>
      <c r="K3" s="378"/>
      <c r="L3" s="378"/>
      <c r="M3" s="378"/>
      <c r="N3" s="378"/>
      <c r="O3" s="378"/>
      <c r="P3" s="378"/>
      <c r="Q3" s="378"/>
      <c r="R3" s="378"/>
      <c r="S3" s="378"/>
      <c r="T3" s="378"/>
      <c r="U3" s="378"/>
      <c r="V3" s="378"/>
      <c r="W3" s="378"/>
      <c r="X3" s="378"/>
      <c r="Y3" s="378"/>
      <c r="Z3" s="378"/>
      <c r="AA3" s="378"/>
      <c r="AB3" s="379"/>
    </row>
    <row r="4" spans="2:28" s="376" customFormat="1" ht="24.95" customHeight="1">
      <c r="B4" s="523" t="str">
        <f>Orçamento!B8</f>
        <v>PRAZO DE EXECUÇÃO: 4 Meses</v>
      </c>
      <c r="C4" s="377"/>
      <c r="D4" s="377"/>
      <c r="E4" s="377"/>
      <c r="F4" s="377"/>
      <c r="G4" s="378"/>
      <c r="H4" s="378"/>
      <c r="I4" s="378"/>
      <c r="J4" s="378"/>
      <c r="K4" s="378"/>
      <c r="L4" s="378"/>
      <c r="M4" s="378"/>
      <c r="N4" s="378"/>
      <c r="O4" s="378"/>
      <c r="P4" s="378"/>
      <c r="Q4" s="378"/>
      <c r="R4" s="378"/>
      <c r="S4" s="378"/>
      <c r="T4" s="378"/>
      <c r="U4" s="378"/>
      <c r="V4" s="378"/>
      <c r="W4" s="378"/>
      <c r="X4" s="378"/>
      <c r="Y4" s="378"/>
      <c r="Z4" s="378"/>
      <c r="AA4" s="378"/>
      <c r="AB4" s="379"/>
    </row>
    <row r="5" spans="2:28" ht="24.95" customHeight="1">
      <c r="B5" s="383"/>
      <c r="C5" s="375"/>
      <c r="D5" s="375"/>
      <c r="E5" s="375"/>
      <c r="F5" s="375"/>
      <c r="G5" s="198"/>
      <c r="H5" s="198"/>
      <c r="I5" s="198"/>
      <c r="J5" s="198"/>
      <c r="K5" s="198"/>
      <c r="L5" s="198"/>
      <c r="M5" s="198"/>
      <c r="N5" s="198"/>
      <c r="O5" s="198"/>
      <c r="P5" s="198"/>
      <c r="Q5" s="198"/>
      <c r="R5" s="198"/>
      <c r="S5" s="198"/>
      <c r="T5" s="198"/>
      <c r="U5" s="198"/>
      <c r="V5" s="198"/>
      <c r="W5" s="198"/>
      <c r="X5" s="198"/>
      <c r="Y5" s="198"/>
      <c r="Z5" s="198"/>
      <c r="AA5" s="198"/>
      <c r="AB5" s="199"/>
    </row>
    <row r="6" spans="2:28" ht="24.95" customHeight="1">
      <c r="B6" s="383"/>
      <c r="C6" s="375"/>
      <c r="D6" s="375"/>
      <c r="E6" s="375"/>
      <c r="F6" s="375"/>
      <c r="G6" s="198"/>
      <c r="H6" s="198"/>
      <c r="I6" s="198"/>
      <c r="J6" s="198"/>
      <c r="K6" s="198"/>
      <c r="L6" s="198"/>
      <c r="M6" s="198"/>
      <c r="N6" s="198"/>
      <c r="O6" s="198"/>
      <c r="P6" s="198"/>
      <c r="Q6" s="198"/>
      <c r="R6" s="198"/>
      <c r="S6" s="198"/>
      <c r="T6" s="198"/>
      <c r="U6" s="198"/>
      <c r="V6" s="198"/>
      <c r="W6" s="198"/>
      <c r="X6" s="198"/>
      <c r="Y6" s="198"/>
      <c r="Z6" s="198"/>
      <c r="AA6" s="198"/>
      <c r="AB6" s="199"/>
    </row>
    <row r="7" spans="2:28" ht="20.100000000000001" customHeight="1">
      <c r="B7" s="374"/>
      <c r="C7" s="375"/>
      <c r="D7" s="375"/>
      <c r="E7" s="375"/>
      <c r="F7" s="375"/>
      <c r="G7" s="198"/>
      <c r="H7" s="198"/>
      <c r="I7" s="198"/>
      <c r="J7" s="198"/>
      <c r="K7" s="198"/>
      <c r="L7" s="198"/>
      <c r="M7" s="198"/>
      <c r="N7" s="198"/>
      <c r="O7" s="198"/>
      <c r="P7" s="198"/>
      <c r="Q7" s="198"/>
      <c r="R7" s="198"/>
      <c r="S7" s="198"/>
      <c r="T7" s="198"/>
      <c r="U7" s="198"/>
      <c r="V7" s="198"/>
      <c r="W7" s="198"/>
      <c r="X7" s="198"/>
      <c r="Y7" s="198"/>
      <c r="Z7" s="198"/>
      <c r="AA7" s="198"/>
      <c r="AB7" s="199"/>
    </row>
    <row r="8" spans="2:28" ht="31.5" customHeight="1">
      <c r="B8" s="709" t="s">
        <v>64</v>
      </c>
      <c r="C8" s="709" t="s">
        <v>16</v>
      </c>
      <c r="D8" s="709"/>
      <c r="E8" s="710" t="s">
        <v>34</v>
      </c>
      <c r="F8" s="711"/>
      <c r="G8" s="711"/>
      <c r="H8" s="712"/>
      <c r="I8" s="710" t="s">
        <v>35</v>
      </c>
      <c r="J8" s="711"/>
      <c r="K8" s="711"/>
      <c r="L8" s="711"/>
      <c r="M8" s="711"/>
      <c r="N8" s="712"/>
      <c r="O8" s="713" t="s">
        <v>36</v>
      </c>
      <c r="P8" s="714"/>
      <c r="Q8" s="714"/>
      <c r="R8" s="715"/>
      <c r="S8" s="713" t="s">
        <v>37</v>
      </c>
      <c r="T8" s="714"/>
      <c r="U8" s="714"/>
      <c r="V8" s="714"/>
      <c r="W8" s="714"/>
      <c r="X8" s="713" t="s">
        <v>38</v>
      </c>
      <c r="Y8" s="714"/>
      <c r="Z8" s="714"/>
      <c r="AA8" s="716" t="s">
        <v>418</v>
      </c>
      <c r="AB8" s="716" t="s">
        <v>65</v>
      </c>
    </row>
    <row r="9" spans="2:28" ht="63" customHeight="1">
      <c r="B9" s="709"/>
      <c r="C9" s="351" t="s">
        <v>39</v>
      </c>
      <c r="D9" s="351" t="s">
        <v>40</v>
      </c>
      <c r="E9" s="23" t="s">
        <v>204</v>
      </c>
      <c r="F9" s="23" t="s">
        <v>105</v>
      </c>
      <c r="G9" s="23" t="s">
        <v>41</v>
      </c>
      <c r="H9" s="23" t="s">
        <v>42</v>
      </c>
      <c r="I9" s="23" t="s">
        <v>115</v>
      </c>
      <c r="J9" s="23" t="s">
        <v>66</v>
      </c>
      <c r="K9" s="23" t="s">
        <v>67</v>
      </c>
      <c r="L9" s="23" t="s">
        <v>68</v>
      </c>
      <c r="M9" s="23" t="s">
        <v>42</v>
      </c>
      <c r="N9" s="23" t="s">
        <v>43</v>
      </c>
      <c r="O9" s="23" t="s">
        <v>95</v>
      </c>
      <c r="P9" s="23" t="s">
        <v>44</v>
      </c>
      <c r="Q9" s="23" t="s">
        <v>82</v>
      </c>
      <c r="R9" s="23" t="s">
        <v>45</v>
      </c>
      <c r="S9" s="23" t="s">
        <v>106</v>
      </c>
      <c r="T9" s="23" t="s">
        <v>63</v>
      </c>
      <c r="U9" s="23" t="s">
        <v>62</v>
      </c>
      <c r="V9" s="23" t="s">
        <v>46</v>
      </c>
      <c r="W9" s="23" t="s">
        <v>47</v>
      </c>
      <c r="X9" s="23" t="s">
        <v>82</v>
      </c>
      <c r="Y9" s="23" t="s">
        <v>45</v>
      </c>
      <c r="Z9" s="23" t="s">
        <v>95</v>
      </c>
      <c r="AA9" s="717"/>
      <c r="AB9" s="717"/>
    </row>
    <row r="10" spans="2:28" s="258" customFormat="1">
      <c r="B10" s="257"/>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8"/>
      <c r="AB10" s="719"/>
    </row>
    <row r="11" spans="2:28">
      <c r="B11" s="380" t="s">
        <v>352</v>
      </c>
      <c r="C11" s="255" t="s">
        <v>103</v>
      </c>
      <c r="D11" s="255" t="s">
        <v>423</v>
      </c>
      <c r="E11" s="98">
        <f t="shared" ref="E11:E14" si="0">(IF(IFERROR(SEARCH("+",D11)&lt;&gt;0,0),IF(VALUE((RIGHT(D11,(LEN(D11)-SEARCH("+",D11)))))&gt;=20,"Após o simbolo + valor &lt; 20",IFERROR((LEFT(D11,(SEARCH("+",D11)-1))*20)+(RIGHT(D11,(LEN(D11)-SEARCH("+",D11)))),"Valor Incorreto")),D11*20)-IF(IFERROR(SEARCH("+",C11)&lt;&gt;0,0),IF(VALUE((RIGHT(C11,(LEN(C11)-SEARCH("+",C11)))))&gt;=20,"Após o simbolo + valor &lt; 20",IFERROR((LEFT(C11,(SEARCH("+",C11)-1))*20)+(RIGHT(C11,(LEN(C11)-SEARCH("+",C11)))),"Valor Incorreto")),C11*20))</f>
        <v>757.07</v>
      </c>
      <c r="F11" s="24">
        <f>5*20+18.4</f>
        <v>118.4</v>
      </c>
      <c r="G11" s="25">
        <f>(E11-F11)*4</f>
        <v>2554.6800000000003</v>
      </c>
      <c r="H11" s="26">
        <f t="shared" ref="H11" si="1">(E11-F11)*(M11/0.5)</f>
        <v>1277.3400000000001</v>
      </c>
      <c r="I11" s="24">
        <v>20</v>
      </c>
      <c r="J11" s="24"/>
      <c r="K11" s="25">
        <f>I11-J11+N11+M11</f>
        <v>21.3</v>
      </c>
      <c r="L11" s="27">
        <f>3*2</f>
        <v>6</v>
      </c>
      <c r="M11" s="27">
        <v>1</v>
      </c>
      <c r="N11" s="24">
        <v>0.3</v>
      </c>
      <c r="O11" s="24"/>
      <c r="P11" s="24">
        <v>0.05</v>
      </c>
      <c r="Q11" s="24">
        <v>0.2</v>
      </c>
      <c r="R11" s="24">
        <v>0.2</v>
      </c>
      <c r="S11" s="93">
        <f>F11*(I11+M11)</f>
        <v>2486.4</v>
      </c>
      <c r="T11" s="26">
        <f>(E11*((I11-J11)+M11))-S11</f>
        <v>13412.070000000002</v>
      </c>
      <c r="U11" s="26">
        <f>(E11*(I11-J11))-S11</f>
        <v>12655.000000000002</v>
      </c>
      <c r="V11" s="26">
        <f t="shared" ref="V11:V13" si="2">(E11*K11)-S11</f>
        <v>13639.191000000003</v>
      </c>
      <c r="W11" s="26">
        <f>(E11-F11)*L11</f>
        <v>3832.0200000000004</v>
      </c>
      <c r="X11" s="26">
        <f t="shared" ref="X11:X14" si="3">((E11*K11)-S11)*Q11</f>
        <v>2727.8382000000006</v>
      </c>
      <c r="Y11" s="26">
        <f t="shared" ref="Y11:Y14" si="4">((E11*K11)-S11)*R11</f>
        <v>2727.8382000000006</v>
      </c>
      <c r="Z11" s="26">
        <f t="shared" ref="Z11:Z14" si="5">O11*V11</f>
        <v>0</v>
      </c>
      <c r="AA11" s="26">
        <f>P11*U11</f>
        <v>632.75000000000011</v>
      </c>
      <c r="AB11" s="26">
        <f t="shared" ref="AB11:AB14" si="6">(AA11+(((T11+U11)*$G$21)/1000))*$K$21</f>
        <v>1631.2097424000003</v>
      </c>
    </row>
    <row r="12" spans="2:28">
      <c r="B12" s="381" t="s">
        <v>213</v>
      </c>
      <c r="C12" s="255" t="s">
        <v>103</v>
      </c>
      <c r="D12" s="255" t="s">
        <v>426</v>
      </c>
      <c r="E12" s="98">
        <f t="shared" si="0"/>
        <v>180</v>
      </c>
      <c r="F12" s="24"/>
      <c r="G12" s="25">
        <f>(E12-F12)*4</f>
        <v>720</v>
      </c>
      <c r="H12" s="26">
        <f>(E12-F12)*(M12/0.5)</f>
        <v>360</v>
      </c>
      <c r="I12" s="27">
        <v>14</v>
      </c>
      <c r="J12" s="24"/>
      <c r="K12" s="25">
        <f t="shared" ref="K12:K13" si="7">I12-J12+N12+M12</f>
        <v>15.3</v>
      </c>
      <c r="L12" s="27">
        <v>5</v>
      </c>
      <c r="M12" s="27">
        <v>1</v>
      </c>
      <c r="N12" s="24">
        <v>0.3</v>
      </c>
      <c r="O12" s="24"/>
      <c r="P12" s="24">
        <v>0.05</v>
      </c>
      <c r="Q12" s="24">
        <v>0.2</v>
      </c>
      <c r="R12" s="24">
        <v>0.2</v>
      </c>
      <c r="S12" s="93"/>
      <c r="T12" s="26">
        <f t="shared" ref="T12:T14" si="8">(E12*((I12-J12)+M12))-S12</f>
        <v>2700</v>
      </c>
      <c r="U12" s="26">
        <f t="shared" ref="U12:U14" si="9">(E12*(I12-J12))-S12</f>
        <v>2520</v>
      </c>
      <c r="V12" s="26">
        <f t="shared" si="2"/>
        <v>2754</v>
      </c>
      <c r="W12" s="26">
        <f t="shared" ref="W12:W14" si="10">(E12-F12)*L12</f>
        <v>900</v>
      </c>
      <c r="X12" s="26">
        <f t="shared" si="3"/>
        <v>550.80000000000007</v>
      </c>
      <c r="Y12" s="26">
        <f t="shared" si="4"/>
        <v>550.80000000000007</v>
      </c>
      <c r="Z12" s="26">
        <f t="shared" si="5"/>
        <v>0</v>
      </c>
      <c r="AA12" s="26">
        <f t="shared" ref="AA12:AA14" si="11">P12*U12</f>
        <v>126</v>
      </c>
      <c r="AB12" s="26">
        <f t="shared" si="6"/>
        <v>324.9504</v>
      </c>
    </row>
    <row r="13" spans="2:28">
      <c r="B13" s="381" t="s">
        <v>429</v>
      </c>
      <c r="C13" s="255" t="s">
        <v>427</v>
      </c>
      <c r="D13" s="255" t="s">
        <v>428</v>
      </c>
      <c r="E13" s="98">
        <f t="shared" si="0"/>
        <v>80</v>
      </c>
      <c r="F13" s="24"/>
      <c r="G13" s="25">
        <f>(E13-F13)*4</f>
        <v>320</v>
      </c>
      <c r="H13" s="26">
        <f t="shared" ref="H13" si="12">(E13-F13)*(M13/0.5)</f>
        <v>160</v>
      </c>
      <c r="I13" s="24">
        <v>14</v>
      </c>
      <c r="J13" s="24"/>
      <c r="K13" s="25">
        <f t="shared" si="7"/>
        <v>15.3</v>
      </c>
      <c r="L13" s="27">
        <v>2.5</v>
      </c>
      <c r="M13" s="27">
        <v>1</v>
      </c>
      <c r="N13" s="24">
        <v>0.3</v>
      </c>
      <c r="O13" s="24"/>
      <c r="P13" s="24">
        <v>0.03</v>
      </c>
      <c r="Q13" s="24">
        <v>0.15</v>
      </c>
      <c r="R13" s="24">
        <v>0.2</v>
      </c>
      <c r="S13" s="93"/>
      <c r="T13" s="26">
        <f t="shared" si="8"/>
        <v>1200</v>
      </c>
      <c r="U13" s="26">
        <f t="shared" si="9"/>
        <v>1120</v>
      </c>
      <c r="V13" s="26">
        <f t="shared" si="2"/>
        <v>1224</v>
      </c>
      <c r="W13" s="26">
        <f t="shared" si="10"/>
        <v>200</v>
      </c>
      <c r="X13" s="26">
        <f t="shared" si="3"/>
        <v>183.6</v>
      </c>
      <c r="Y13" s="26">
        <f t="shared" si="4"/>
        <v>244.8</v>
      </c>
      <c r="Z13" s="26">
        <f t="shared" si="5"/>
        <v>0</v>
      </c>
      <c r="AA13" s="26">
        <f t="shared" si="11"/>
        <v>33.6</v>
      </c>
      <c r="AB13" s="26">
        <f t="shared" si="6"/>
        <v>90.662400000000005</v>
      </c>
    </row>
    <row r="14" spans="2:28">
      <c r="B14" s="381" t="s">
        <v>399</v>
      </c>
      <c r="C14" s="255" t="s">
        <v>428</v>
      </c>
      <c r="D14" s="255" t="s">
        <v>425</v>
      </c>
      <c r="E14" s="98">
        <f t="shared" si="0"/>
        <v>266.52999999999997</v>
      </c>
      <c r="F14" s="24"/>
      <c r="G14" s="25">
        <v>0</v>
      </c>
      <c r="H14" s="26">
        <f>(E14-F14)*(M14/0.5)</f>
        <v>533.05999999999995</v>
      </c>
      <c r="I14" s="24">
        <v>10</v>
      </c>
      <c r="J14" s="24"/>
      <c r="K14" s="25">
        <f>I14-J14+N14+M14</f>
        <v>11.3</v>
      </c>
      <c r="L14" s="27">
        <v>3</v>
      </c>
      <c r="M14" s="27">
        <v>1</v>
      </c>
      <c r="N14" s="24">
        <v>0.3</v>
      </c>
      <c r="O14" s="24"/>
      <c r="P14" s="24">
        <v>0.03</v>
      </c>
      <c r="Q14" s="24">
        <v>0.15</v>
      </c>
      <c r="R14" s="24">
        <v>0.2</v>
      </c>
      <c r="S14" s="93"/>
      <c r="T14" s="26">
        <f t="shared" si="8"/>
        <v>2931.83</v>
      </c>
      <c r="U14" s="26">
        <f t="shared" si="9"/>
        <v>2665.2999999999997</v>
      </c>
      <c r="V14" s="26">
        <f>(E14*K14)-S14</f>
        <v>3011.7889999999998</v>
      </c>
      <c r="W14" s="26">
        <f t="shared" si="10"/>
        <v>799.58999999999992</v>
      </c>
      <c r="X14" s="26">
        <f t="shared" si="3"/>
        <v>451.76834999999994</v>
      </c>
      <c r="Y14" s="26">
        <f t="shared" si="4"/>
        <v>602.3578</v>
      </c>
      <c r="Z14" s="26">
        <f t="shared" si="5"/>
        <v>0</v>
      </c>
      <c r="AA14" s="26">
        <f t="shared" si="11"/>
        <v>79.958999999999989</v>
      </c>
      <c r="AB14" s="26">
        <f t="shared" si="6"/>
        <v>216.08120159999996</v>
      </c>
    </row>
    <row r="15" spans="2:28">
      <c r="B15" s="44"/>
      <c r="C15" s="256"/>
      <c r="D15" s="255"/>
      <c r="E15" s="98"/>
      <c r="F15" s="24"/>
      <c r="G15" s="25"/>
      <c r="H15" s="26"/>
      <c r="I15" s="24"/>
      <c r="J15" s="24"/>
      <c r="K15" s="25"/>
      <c r="L15" s="27"/>
      <c r="M15" s="27"/>
      <c r="N15" s="24"/>
      <c r="O15" s="24"/>
      <c r="P15" s="24"/>
      <c r="Q15" s="24"/>
      <c r="R15" s="24"/>
      <c r="S15" s="93"/>
      <c r="T15" s="26"/>
      <c r="U15" s="26"/>
      <c r="V15" s="26"/>
      <c r="W15" s="26"/>
      <c r="X15" s="26"/>
      <c r="Y15" s="26"/>
      <c r="Z15" s="26"/>
      <c r="AA15" s="26"/>
      <c r="AB15" s="26"/>
    </row>
    <row r="16" spans="2:28">
      <c r="B16" s="95"/>
      <c r="C16" s="255"/>
      <c r="D16" s="255"/>
      <c r="E16" s="98"/>
      <c r="F16" s="24"/>
      <c r="G16" s="25"/>
      <c r="H16" s="26"/>
      <c r="I16" s="27"/>
      <c r="J16" s="24"/>
      <c r="K16" s="25"/>
      <c r="L16" s="27"/>
      <c r="M16" s="27"/>
      <c r="N16" s="24"/>
      <c r="O16" s="24"/>
      <c r="P16" s="24"/>
      <c r="Q16" s="24"/>
      <c r="R16" s="24"/>
      <c r="S16" s="93"/>
      <c r="T16" s="26"/>
      <c r="U16" s="26"/>
      <c r="V16" s="26"/>
      <c r="W16" s="26"/>
      <c r="X16" s="26"/>
      <c r="Y16" s="26"/>
      <c r="Z16" s="26"/>
      <c r="AA16" s="26"/>
      <c r="AB16" s="26"/>
    </row>
    <row r="17" spans="1:36">
      <c r="B17" s="95"/>
      <c r="C17" s="255"/>
      <c r="D17" s="255"/>
      <c r="E17" s="98"/>
      <c r="F17" s="24"/>
      <c r="G17" s="25"/>
      <c r="H17" s="26"/>
      <c r="I17" s="24"/>
      <c r="J17" s="24"/>
      <c r="K17" s="25"/>
      <c r="L17" s="27"/>
      <c r="M17" s="27"/>
      <c r="N17" s="24"/>
      <c r="O17" s="24"/>
      <c r="P17" s="24"/>
      <c r="Q17" s="24"/>
      <c r="R17" s="24"/>
      <c r="S17" s="93"/>
      <c r="T17" s="26"/>
      <c r="U17" s="26"/>
      <c r="V17" s="26"/>
      <c r="W17" s="26"/>
      <c r="X17" s="26"/>
      <c r="Y17" s="26"/>
      <c r="Z17" s="26"/>
      <c r="AA17" s="26"/>
      <c r="AB17" s="26"/>
    </row>
    <row r="18" spans="1:36">
      <c r="B18" s="100"/>
      <c r="C18" s="255"/>
      <c r="D18" s="255"/>
      <c r="E18" s="98"/>
      <c r="F18" s="24"/>
      <c r="G18" s="25"/>
      <c r="H18" s="26"/>
      <c r="I18" s="24"/>
      <c r="J18" s="24"/>
      <c r="K18" s="25"/>
      <c r="L18" s="27"/>
      <c r="M18" s="27"/>
      <c r="N18" s="24"/>
      <c r="O18" s="24"/>
      <c r="P18" s="24"/>
      <c r="Q18" s="24"/>
      <c r="R18" s="24"/>
      <c r="S18" s="93"/>
      <c r="T18" s="26"/>
      <c r="U18" s="26"/>
      <c r="V18" s="26"/>
      <c r="W18" s="26"/>
      <c r="X18" s="26"/>
      <c r="Y18" s="26"/>
      <c r="Z18" s="26"/>
      <c r="AA18" s="26"/>
      <c r="AB18" s="26"/>
    </row>
    <row r="19" spans="1:36" s="30" customFormat="1">
      <c r="B19" s="45"/>
      <c r="C19" s="46"/>
      <c r="D19" s="46"/>
      <c r="E19" s="28">
        <f>SUM(E11:E18)</f>
        <v>1283.5999999999999</v>
      </c>
      <c r="F19" s="28">
        <f>SUM(F11:F18)</f>
        <v>118.4</v>
      </c>
      <c r="G19" s="28">
        <f>SUM(G11:G18)</f>
        <v>3594.6800000000003</v>
      </c>
      <c r="H19" s="28">
        <f>SUM(H11:H18)</f>
        <v>2330.4</v>
      </c>
      <c r="I19" s="29"/>
      <c r="J19" s="29"/>
      <c r="K19" s="28"/>
      <c r="L19" s="28"/>
      <c r="M19" s="28"/>
      <c r="N19" s="28"/>
      <c r="O19" s="29"/>
      <c r="P19" s="29"/>
      <c r="Q19" s="29"/>
      <c r="R19" s="29"/>
      <c r="S19" s="28"/>
      <c r="T19" s="28">
        <f>SUM(T11:T18)</f>
        <v>20243.900000000001</v>
      </c>
      <c r="U19" s="28">
        <f>SUM(U11:U18)</f>
        <v>18960.300000000003</v>
      </c>
      <c r="V19" s="28">
        <f>SUM(V11:V18)</f>
        <v>20628.980000000003</v>
      </c>
      <c r="W19" s="28">
        <f t="shared" ref="W19:Z19" si="13">SUM(W11:W18)</f>
        <v>5731.6100000000006</v>
      </c>
      <c r="X19" s="28">
        <f t="shared" si="13"/>
        <v>3914.0065500000005</v>
      </c>
      <c r="Y19" s="28">
        <f t="shared" si="13"/>
        <v>4125.7960000000012</v>
      </c>
      <c r="Z19" s="28">
        <f t="shared" si="13"/>
        <v>0</v>
      </c>
      <c r="AA19" s="28">
        <f>SUM(AA11:AA18)</f>
        <v>872.30900000000008</v>
      </c>
      <c r="AB19" s="28">
        <f>SUM(AB11:AB18)</f>
        <v>2262.9037440000002</v>
      </c>
      <c r="AH19" s="31"/>
      <c r="AJ19" s="32"/>
    </row>
    <row r="20" spans="1:36">
      <c r="E20" s="34"/>
      <c r="F20" s="15"/>
      <c r="G20" s="15"/>
      <c r="H20" s="15"/>
      <c r="I20" s="15"/>
      <c r="J20" s="15"/>
      <c r="K20" s="15"/>
      <c r="L20" s="15"/>
      <c r="M20" s="15"/>
      <c r="N20" s="15"/>
      <c r="O20" s="15"/>
      <c r="P20" s="15"/>
      <c r="Q20" s="15"/>
      <c r="R20" s="15"/>
      <c r="S20" s="15"/>
      <c r="T20" s="15"/>
      <c r="U20" s="15"/>
      <c r="V20" s="15"/>
      <c r="W20" s="15"/>
      <c r="X20" s="15"/>
      <c r="Y20" s="15"/>
      <c r="AA20" s="15"/>
      <c r="AH20" s="35"/>
      <c r="AJ20" s="36"/>
    </row>
    <row r="21" spans="1:36">
      <c r="B21" s="37" t="s">
        <v>48</v>
      </c>
      <c r="C21" s="38">
        <v>2.4</v>
      </c>
      <c r="D21" s="37" t="s">
        <v>390</v>
      </c>
      <c r="E21" s="37"/>
      <c r="F21" s="92"/>
      <c r="G21" s="38">
        <v>1.8</v>
      </c>
      <c r="H21" s="720" t="s">
        <v>389</v>
      </c>
      <c r="I21" s="720"/>
      <c r="J21" s="720"/>
      <c r="K21" s="38">
        <v>2.4</v>
      </c>
      <c r="L21" s="47" t="s">
        <v>96</v>
      </c>
      <c r="X21" s="15"/>
      <c r="Y21" s="15"/>
      <c r="AB21" s="16"/>
      <c r="AH21" s="16"/>
      <c r="AJ21" s="36"/>
    </row>
    <row r="22" spans="1:36">
      <c r="B22" s="17" t="s">
        <v>69</v>
      </c>
      <c r="C22" s="14"/>
      <c r="D22" s="14"/>
      <c r="E22" s="14"/>
      <c r="S22" s="18"/>
      <c r="T22" s="18"/>
      <c r="U22" s="18"/>
      <c r="V22" s="18"/>
      <c r="W22" s="18"/>
      <c r="X22" s="18"/>
      <c r="Y22" s="18"/>
      <c r="AA22" s="97"/>
      <c r="AH22" s="16"/>
    </row>
    <row r="23" spans="1:36">
      <c r="E23" s="39"/>
      <c r="F23" s="18"/>
      <c r="G23" s="18"/>
      <c r="H23" s="18"/>
      <c r="I23" s="18"/>
      <c r="J23" s="18"/>
      <c r="K23" s="18"/>
      <c r="L23" s="18"/>
      <c r="M23" s="18"/>
      <c r="N23" s="18"/>
      <c r="O23" s="18"/>
      <c r="P23" s="18"/>
      <c r="Q23" s="18"/>
      <c r="R23" s="18"/>
      <c r="S23" s="18"/>
      <c r="T23" s="18"/>
      <c r="U23" s="18"/>
      <c r="V23" s="18"/>
      <c r="W23" s="18"/>
      <c r="X23" s="18"/>
      <c r="Y23" s="18"/>
      <c r="AA23" s="97"/>
      <c r="AH23" s="16"/>
    </row>
    <row r="24" spans="1:36">
      <c r="Y24" s="97"/>
    </row>
    <row r="25" spans="1:36">
      <c r="A25" s="19"/>
      <c r="B25" s="40"/>
      <c r="C25" s="40"/>
      <c r="D25" s="40"/>
      <c r="E25" s="40"/>
      <c r="F25" s="19"/>
      <c r="G25" s="19"/>
      <c r="H25" s="19"/>
      <c r="I25" s="19"/>
      <c r="J25" s="19"/>
      <c r="K25" s="19"/>
      <c r="L25" s="19"/>
      <c r="M25" s="19"/>
      <c r="N25" s="19"/>
      <c r="O25" s="19"/>
      <c r="P25" s="19"/>
    </row>
    <row r="26" spans="1:36" ht="20.25">
      <c r="A26" s="19"/>
      <c r="B26" s="49"/>
      <c r="C26" s="20"/>
      <c r="D26" s="40"/>
      <c r="E26" s="40"/>
      <c r="F26" s="19"/>
      <c r="G26" s="19"/>
      <c r="H26" s="19"/>
      <c r="I26" s="19"/>
      <c r="J26" s="19"/>
      <c r="K26" s="19"/>
      <c r="L26" s="19"/>
      <c r="M26" s="19"/>
      <c r="N26" s="19"/>
      <c r="O26" s="21"/>
      <c r="P26" s="21"/>
    </row>
    <row r="27" spans="1:36">
      <c r="A27" s="19"/>
      <c r="B27" s="48"/>
      <c r="C27" s="20"/>
      <c r="D27" s="40"/>
      <c r="E27" s="40"/>
      <c r="F27" s="19"/>
      <c r="G27" s="19"/>
      <c r="H27" s="19"/>
      <c r="I27" s="19"/>
      <c r="J27" s="19"/>
      <c r="K27" s="19"/>
      <c r="L27" s="19"/>
      <c r="M27" s="19"/>
      <c r="N27" s="19"/>
      <c r="O27" s="19"/>
      <c r="P27" s="19"/>
    </row>
    <row r="28" spans="1:36" ht="20.25">
      <c r="A28" s="19"/>
      <c r="B28" s="49"/>
      <c r="C28" s="20"/>
      <c r="D28" s="40"/>
      <c r="E28" s="40"/>
      <c r="F28" s="19"/>
      <c r="G28" s="19"/>
      <c r="H28" s="19"/>
      <c r="I28" s="19"/>
      <c r="J28" s="19"/>
      <c r="K28" s="19"/>
      <c r="L28" s="19"/>
      <c r="M28" s="19"/>
      <c r="N28" s="19"/>
      <c r="O28" s="19"/>
      <c r="P28" s="19"/>
    </row>
    <row r="29" spans="1:36">
      <c r="A29" s="19"/>
      <c r="B29" s="48"/>
      <c r="C29" s="20"/>
      <c r="D29" s="40"/>
      <c r="E29" s="40"/>
      <c r="F29" s="19"/>
      <c r="G29" s="19"/>
      <c r="H29" s="19"/>
      <c r="I29" s="19"/>
      <c r="J29" s="19"/>
      <c r="K29" s="19"/>
      <c r="L29" s="19"/>
      <c r="M29" s="19"/>
      <c r="N29" s="19"/>
      <c r="O29" s="19"/>
      <c r="P29" s="19"/>
    </row>
    <row r="30" spans="1:36" ht="20.25">
      <c r="A30" s="19"/>
      <c r="B30" s="49"/>
      <c r="C30" s="20"/>
      <c r="D30" s="40"/>
      <c r="E30" s="40"/>
      <c r="F30" s="19"/>
      <c r="G30" s="19"/>
      <c r="H30" s="19"/>
      <c r="I30" s="19"/>
      <c r="J30" s="19"/>
      <c r="K30" s="19"/>
      <c r="L30" s="19"/>
      <c r="M30" s="19"/>
      <c r="N30" s="19"/>
      <c r="O30" s="19"/>
      <c r="P30" s="19"/>
    </row>
    <row r="31" spans="1:36">
      <c r="A31" s="19"/>
      <c r="B31" s="48"/>
      <c r="C31" s="20"/>
      <c r="D31" s="40"/>
      <c r="E31" s="40"/>
      <c r="F31" s="19"/>
      <c r="G31" s="19"/>
      <c r="H31" s="19"/>
      <c r="I31" s="19"/>
      <c r="J31" s="19"/>
      <c r="K31" s="19"/>
      <c r="L31" s="19"/>
      <c r="M31" s="19"/>
      <c r="N31" s="19"/>
      <c r="O31" s="19"/>
      <c r="P31" s="19"/>
    </row>
    <row r="32" spans="1:36" ht="18.75">
      <c r="A32" s="19"/>
      <c r="B32" s="50"/>
      <c r="C32" s="20"/>
      <c r="D32" s="40"/>
      <c r="E32" s="40"/>
      <c r="F32" s="19"/>
      <c r="G32" s="19"/>
      <c r="H32" s="19"/>
      <c r="I32" s="19"/>
      <c r="J32" s="19"/>
      <c r="K32" s="19"/>
      <c r="L32" s="19"/>
      <c r="M32" s="19"/>
      <c r="N32" s="19"/>
      <c r="O32" s="19"/>
      <c r="P32" s="19"/>
    </row>
    <row r="33" spans="1:16">
      <c r="A33" s="19"/>
      <c r="B33" s="51"/>
      <c r="C33" s="51"/>
      <c r="D33" s="40"/>
      <c r="E33" s="40"/>
      <c r="F33" s="19"/>
      <c r="G33" s="19"/>
      <c r="H33" s="19"/>
      <c r="I33" s="19"/>
      <c r="J33" s="19"/>
      <c r="K33" s="19"/>
      <c r="L33" s="19"/>
      <c r="M33" s="19"/>
      <c r="N33" s="19"/>
      <c r="O33" s="19"/>
      <c r="P33" s="19"/>
    </row>
    <row r="34" spans="1:16" ht="20.25">
      <c r="A34" s="19"/>
      <c r="B34" s="52"/>
      <c r="C34" s="20"/>
      <c r="D34" s="40"/>
      <c r="E34" s="40"/>
      <c r="F34" s="19"/>
      <c r="G34" s="19"/>
      <c r="H34" s="19"/>
      <c r="I34" s="19"/>
      <c r="J34" s="19"/>
      <c r="K34" s="19"/>
      <c r="L34" s="19"/>
      <c r="M34" s="19"/>
      <c r="N34" s="19"/>
      <c r="O34" s="19"/>
      <c r="P34" s="19"/>
    </row>
    <row r="35" spans="1:16">
      <c r="A35" s="19"/>
      <c r="B35" s="48"/>
      <c r="C35" s="20"/>
      <c r="D35" s="40"/>
      <c r="E35" s="40"/>
      <c r="F35" s="19"/>
      <c r="G35" s="19"/>
      <c r="H35" s="19"/>
      <c r="I35" s="19"/>
      <c r="J35" s="19"/>
      <c r="K35" s="19"/>
      <c r="L35" s="19"/>
      <c r="M35" s="19"/>
      <c r="N35" s="19"/>
      <c r="O35" s="19"/>
      <c r="P35" s="19"/>
    </row>
    <row r="36" spans="1:16" ht="20.25">
      <c r="A36" s="19"/>
      <c r="B36" s="49"/>
      <c r="C36" s="20"/>
      <c r="D36" s="40"/>
      <c r="E36" s="40"/>
      <c r="F36" s="19"/>
      <c r="G36" s="19"/>
      <c r="H36" s="19"/>
      <c r="I36" s="19"/>
      <c r="J36" s="19"/>
      <c r="K36" s="19"/>
      <c r="L36" s="19"/>
      <c r="M36" s="19"/>
      <c r="N36" s="19"/>
      <c r="O36" s="19"/>
      <c r="P36" s="19"/>
    </row>
    <row r="37" spans="1:16">
      <c r="A37" s="19"/>
      <c r="B37" s="48"/>
      <c r="C37" s="20"/>
      <c r="D37" s="40"/>
      <c r="E37" s="40"/>
      <c r="F37" s="19"/>
      <c r="G37" s="19"/>
      <c r="H37" s="19"/>
      <c r="I37" s="19"/>
      <c r="J37" s="19"/>
      <c r="K37" s="19"/>
      <c r="L37" s="19"/>
      <c r="M37" s="19"/>
      <c r="N37" s="19"/>
      <c r="O37" s="19"/>
      <c r="P37" s="19"/>
    </row>
    <row r="38" spans="1:16" ht="20.25">
      <c r="A38" s="19"/>
      <c r="B38" s="49"/>
      <c r="C38" s="20"/>
      <c r="D38" s="40"/>
      <c r="E38" s="40"/>
      <c r="F38" s="19"/>
      <c r="G38" s="19"/>
      <c r="H38" s="19"/>
      <c r="I38" s="19"/>
      <c r="J38" s="19"/>
      <c r="K38" s="19"/>
      <c r="L38" s="19"/>
      <c r="M38" s="19"/>
      <c r="N38" s="19"/>
      <c r="O38" s="19"/>
      <c r="P38" s="19"/>
    </row>
    <row r="39" spans="1:16">
      <c r="A39" s="19"/>
      <c r="B39" s="48"/>
      <c r="C39" s="20"/>
      <c r="D39" s="40"/>
      <c r="E39" s="40"/>
      <c r="F39" s="19"/>
      <c r="G39" s="19"/>
      <c r="H39" s="19"/>
      <c r="I39" s="19"/>
      <c r="J39" s="19"/>
      <c r="K39" s="19"/>
      <c r="L39" s="19"/>
      <c r="M39" s="19"/>
      <c r="N39" s="19"/>
      <c r="O39" s="19"/>
      <c r="P39" s="19"/>
    </row>
    <row r="40" spans="1:16" ht="20.25">
      <c r="A40" s="19"/>
      <c r="B40" s="49"/>
      <c r="C40" s="20"/>
      <c r="D40" s="40"/>
      <c r="E40" s="40"/>
      <c r="F40" s="19"/>
      <c r="G40" s="19"/>
      <c r="H40" s="19"/>
      <c r="I40" s="19"/>
      <c r="J40" s="19"/>
      <c r="K40" s="19"/>
      <c r="L40" s="19"/>
      <c r="M40" s="19"/>
      <c r="N40" s="19"/>
      <c r="O40" s="19"/>
      <c r="P40" s="19"/>
    </row>
    <row r="41" spans="1:16">
      <c r="A41" s="19"/>
      <c r="B41" s="48"/>
      <c r="C41" s="20"/>
      <c r="D41" s="40"/>
      <c r="E41" s="40"/>
      <c r="F41" s="19"/>
      <c r="G41" s="19"/>
      <c r="H41" s="19"/>
      <c r="I41" s="19"/>
      <c r="J41" s="19"/>
      <c r="K41" s="19"/>
      <c r="L41" s="19"/>
      <c r="M41" s="19"/>
      <c r="N41" s="19"/>
      <c r="O41" s="19"/>
      <c r="P41" s="19"/>
    </row>
    <row r="42" spans="1:16" ht="20.25">
      <c r="A42" s="19"/>
      <c r="B42" s="53"/>
      <c r="C42" s="20"/>
      <c r="D42" s="40"/>
      <c r="E42" s="40"/>
      <c r="F42" s="19"/>
      <c r="G42" s="19"/>
      <c r="H42" s="19"/>
      <c r="I42" s="19"/>
      <c r="J42" s="19"/>
      <c r="K42" s="19"/>
      <c r="L42" s="19"/>
      <c r="M42" s="19"/>
      <c r="N42" s="19"/>
      <c r="O42" s="19"/>
      <c r="P42" s="19"/>
    </row>
    <row r="43" spans="1:16">
      <c r="A43" s="19"/>
      <c r="B43" s="48"/>
      <c r="C43" s="20"/>
      <c r="D43" s="40"/>
      <c r="E43" s="40"/>
      <c r="F43" s="19"/>
      <c r="G43" s="19"/>
      <c r="H43" s="19"/>
      <c r="I43" s="19"/>
      <c r="J43" s="19"/>
      <c r="K43" s="19"/>
      <c r="L43" s="19"/>
      <c r="M43" s="19"/>
      <c r="N43" s="19"/>
      <c r="O43" s="19"/>
      <c r="P43" s="19"/>
    </row>
    <row r="44" spans="1:16" ht="20.25">
      <c r="A44" s="19"/>
      <c r="B44" s="49"/>
      <c r="C44" s="20"/>
      <c r="D44" s="40"/>
      <c r="E44" s="40"/>
      <c r="F44" s="19"/>
      <c r="G44" s="19"/>
      <c r="H44" s="19"/>
      <c r="I44" s="19"/>
      <c r="J44" s="19"/>
      <c r="K44" s="19"/>
      <c r="L44" s="19"/>
      <c r="M44" s="19"/>
      <c r="N44" s="19"/>
      <c r="O44" s="19"/>
      <c r="P44" s="19"/>
    </row>
    <row r="45" spans="1:16">
      <c r="A45" s="19"/>
      <c r="B45" s="48"/>
      <c r="C45" s="20"/>
      <c r="D45" s="40"/>
      <c r="E45" s="40"/>
      <c r="F45" s="19"/>
      <c r="G45" s="19"/>
      <c r="H45" s="19"/>
      <c r="I45" s="19"/>
      <c r="J45" s="19"/>
      <c r="K45" s="19"/>
      <c r="L45" s="19"/>
      <c r="M45" s="19"/>
      <c r="N45" s="19"/>
      <c r="O45" s="19"/>
      <c r="P45" s="19"/>
    </row>
    <row r="46" spans="1:16" ht="20.25">
      <c r="A46" s="19"/>
      <c r="B46" s="49"/>
      <c r="C46" s="20"/>
      <c r="D46" s="40"/>
      <c r="E46" s="40"/>
      <c r="F46" s="19"/>
      <c r="G46" s="19"/>
      <c r="H46" s="19"/>
      <c r="I46" s="19"/>
      <c r="J46" s="19"/>
      <c r="K46" s="19"/>
      <c r="L46" s="19"/>
      <c r="M46" s="19"/>
      <c r="N46" s="19"/>
      <c r="O46" s="19"/>
      <c r="P46" s="19"/>
    </row>
    <row r="47" spans="1:16">
      <c r="A47" s="19"/>
      <c r="B47" s="48"/>
      <c r="C47" s="20"/>
      <c r="D47" s="40"/>
      <c r="E47" s="40"/>
      <c r="F47" s="19"/>
      <c r="G47" s="19"/>
      <c r="H47" s="19"/>
      <c r="I47" s="19"/>
      <c r="J47" s="19"/>
      <c r="K47" s="19"/>
      <c r="L47" s="19"/>
      <c r="M47" s="19"/>
      <c r="N47" s="19"/>
      <c r="O47" s="19"/>
      <c r="P47" s="19"/>
    </row>
    <row r="48" spans="1:16" ht="20.25">
      <c r="A48" s="19"/>
      <c r="B48" s="49"/>
      <c r="C48" s="20"/>
      <c r="D48" s="40"/>
      <c r="E48" s="40"/>
      <c r="F48" s="19"/>
      <c r="G48" s="19"/>
      <c r="H48" s="19"/>
      <c r="I48" s="19"/>
      <c r="J48" s="19"/>
      <c r="K48" s="19"/>
      <c r="L48" s="19"/>
      <c r="M48" s="19"/>
      <c r="N48" s="19"/>
      <c r="O48" s="19"/>
      <c r="P48" s="19"/>
    </row>
    <row r="49" spans="1:16">
      <c r="A49" s="19"/>
      <c r="B49" s="48"/>
      <c r="C49" s="20"/>
      <c r="D49" s="40"/>
      <c r="E49" s="40"/>
      <c r="F49" s="19"/>
      <c r="G49" s="19"/>
      <c r="H49" s="19"/>
      <c r="I49" s="19"/>
      <c r="J49" s="19"/>
      <c r="K49" s="19"/>
      <c r="L49" s="19"/>
      <c r="M49" s="19"/>
      <c r="N49" s="19"/>
      <c r="O49" s="19"/>
      <c r="P49" s="19"/>
    </row>
    <row r="50" spans="1:16" ht="20.25">
      <c r="A50" s="19"/>
      <c r="B50" s="49"/>
      <c r="C50" s="20"/>
      <c r="D50" s="40"/>
      <c r="E50" s="40"/>
      <c r="F50" s="19"/>
      <c r="G50" s="19"/>
      <c r="H50" s="19"/>
      <c r="I50" s="19"/>
      <c r="J50" s="19"/>
      <c r="K50" s="19"/>
      <c r="L50" s="19"/>
      <c r="M50" s="19"/>
      <c r="N50" s="19"/>
      <c r="O50" s="19"/>
      <c r="P50" s="19"/>
    </row>
    <row r="51" spans="1:16">
      <c r="A51" s="19"/>
      <c r="B51" s="48"/>
      <c r="C51" s="20"/>
      <c r="D51" s="40"/>
      <c r="E51" s="40"/>
      <c r="F51" s="19"/>
      <c r="G51" s="19"/>
      <c r="H51" s="19"/>
      <c r="I51" s="19"/>
      <c r="J51" s="19"/>
      <c r="K51" s="19"/>
      <c r="L51" s="19"/>
      <c r="M51" s="19"/>
      <c r="N51" s="19"/>
      <c r="O51" s="19"/>
      <c r="P51" s="19"/>
    </row>
    <row r="52" spans="1:16" ht="20.25">
      <c r="A52" s="19"/>
      <c r="B52" s="53"/>
      <c r="C52" s="20"/>
      <c r="D52" s="40"/>
      <c r="E52" s="40"/>
      <c r="F52" s="19"/>
      <c r="G52" s="19"/>
      <c r="H52" s="19"/>
      <c r="I52" s="19"/>
      <c r="J52" s="19"/>
      <c r="K52" s="19"/>
      <c r="L52" s="19"/>
      <c r="M52" s="19"/>
      <c r="N52" s="19"/>
      <c r="O52" s="19"/>
      <c r="P52" s="19"/>
    </row>
    <row r="53" spans="1:16">
      <c r="A53" s="19"/>
      <c r="B53" s="48"/>
      <c r="C53" s="20"/>
      <c r="D53" s="40"/>
      <c r="E53" s="40"/>
      <c r="F53" s="19"/>
      <c r="G53" s="19"/>
      <c r="H53" s="19"/>
      <c r="I53" s="19"/>
      <c r="J53" s="19"/>
      <c r="K53" s="19"/>
      <c r="L53" s="19"/>
      <c r="M53" s="19"/>
      <c r="N53" s="19"/>
      <c r="O53" s="19"/>
      <c r="P53" s="19"/>
    </row>
    <row r="54" spans="1:16" ht="20.25">
      <c r="A54" s="19"/>
      <c r="B54" s="49"/>
      <c r="C54" s="20"/>
      <c r="D54" s="40"/>
      <c r="E54" s="40"/>
      <c r="F54" s="19"/>
      <c r="G54" s="19"/>
      <c r="H54" s="19"/>
      <c r="I54" s="19"/>
      <c r="J54" s="19"/>
      <c r="K54" s="19"/>
      <c r="L54" s="19"/>
      <c r="M54" s="19"/>
      <c r="N54" s="19"/>
      <c r="O54" s="19"/>
      <c r="P54" s="19"/>
    </row>
    <row r="55" spans="1:16">
      <c r="A55" s="19"/>
      <c r="B55" s="48"/>
      <c r="C55" s="20"/>
      <c r="D55" s="40"/>
      <c r="E55" s="40"/>
      <c r="F55" s="19"/>
      <c r="G55" s="19"/>
      <c r="H55" s="19"/>
      <c r="I55" s="19"/>
      <c r="J55" s="19"/>
      <c r="K55" s="19"/>
      <c r="L55" s="19"/>
      <c r="M55" s="19"/>
      <c r="N55" s="19"/>
      <c r="O55" s="19"/>
      <c r="P55" s="19"/>
    </row>
    <row r="56" spans="1:16" ht="20.25">
      <c r="A56" s="19"/>
      <c r="B56" s="49"/>
      <c r="C56" s="20"/>
      <c r="D56" s="40"/>
      <c r="E56" s="40"/>
      <c r="F56" s="19"/>
      <c r="G56" s="19"/>
      <c r="H56" s="19"/>
      <c r="I56" s="19"/>
      <c r="J56" s="19"/>
      <c r="K56" s="19"/>
      <c r="L56" s="19"/>
      <c r="M56" s="19"/>
      <c r="N56" s="19"/>
      <c r="O56" s="19"/>
      <c r="P56" s="19"/>
    </row>
    <row r="57" spans="1:16">
      <c r="A57" s="19"/>
      <c r="B57" s="48"/>
      <c r="C57" s="20"/>
      <c r="D57" s="40"/>
      <c r="E57" s="40"/>
      <c r="F57" s="19"/>
      <c r="G57" s="19"/>
      <c r="H57" s="19"/>
      <c r="I57" s="19"/>
      <c r="J57" s="19"/>
      <c r="K57" s="19"/>
      <c r="L57" s="19"/>
      <c r="M57" s="19"/>
      <c r="N57" s="19"/>
      <c r="O57" s="19"/>
      <c r="P57" s="19"/>
    </row>
    <row r="58" spans="1:16" ht="20.25">
      <c r="A58" s="19"/>
      <c r="B58" s="49"/>
      <c r="C58" s="20"/>
      <c r="D58" s="40"/>
      <c r="E58" s="40"/>
      <c r="F58" s="19"/>
      <c r="G58" s="19"/>
      <c r="H58" s="19"/>
      <c r="I58" s="19"/>
      <c r="J58" s="19"/>
      <c r="K58" s="19"/>
      <c r="L58" s="19"/>
      <c r="M58" s="19"/>
      <c r="N58" s="19"/>
      <c r="O58" s="19"/>
      <c r="P58" s="19"/>
    </row>
    <row r="59" spans="1:16">
      <c r="A59" s="19"/>
      <c r="B59" s="51"/>
      <c r="C59" s="20"/>
      <c r="D59" s="40"/>
      <c r="E59" s="40"/>
      <c r="F59" s="19"/>
      <c r="G59" s="19"/>
      <c r="H59" s="19"/>
      <c r="I59" s="19"/>
      <c r="J59" s="19"/>
      <c r="K59" s="19"/>
      <c r="L59" s="19"/>
      <c r="M59" s="19"/>
      <c r="N59" s="19"/>
      <c r="O59" s="19"/>
      <c r="P59" s="19"/>
    </row>
    <row r="60" spans="1:16" ht="20.25">
      <c r="A60" s="19"/>
      <c r="B60" s="52"/>
      <c r="C60" s="20"/>
      <c r="D60" s="40"/>
      <c r="E60" s="40"/>
      <c r="F60" s="19"/>
      <c r="G60" s="19"/>
      <c r="H60" s="19"/>
      <c r="I60" s="19"/>
      <c r="J60" s="19"/>
      <c r="K60" s="19"/>
      <c r="L60" s="19"/>
      <c r="M60" s="19"/>
      <c r="N60" s="19"/>
      <c r="O60" s="19"/>
      <c r="P60" s="19"/>
    </row>
    <row r="61" spans="1:16">
      <c r="A61" s="19"/>
      <c r="B61" s="51"/>
      <c r="C61" s="20"/>
      <c r="D61" s="40"/>
      <c r="E61" s="40"/>
      <c r="F61" s="19"/>
      <c r="G61" s="19"/>
      <c r="H61" s="19"/>
      <c r="I61" s="19"/>
      <c r="J61" s="19"/>
      <c r="K61" s="19"/>
      <c r="L61" s="19"/>
      <c r="M61" s="19"/>
      <c r="N61" s="19"/>
      <c r="O61" s="19"/>
      <c r="P61" s="19"/>
    </row>
    <row r="62" spans="1:16" ht="20.25">
      <c r="A62" s="19"/>
      <c r="B62" s="54"/>
      <c r="C62" s="20"/>
      <c r="D62" s="40"/>
      <c r="E62" s="40"/>
      <c r="F62" s="19"/>
      <c r="G62" s="19"/>
      <c r="H62" s="19"/>
      <c r="I62" s="19"/>
      <c r="J62" s="19"/>
      <c r="K62" s="22"/>
      <c r="L62" s="19"/>
      <c r="M62" s="19"/>
      <c r="N62" s="19"/>
      <c r="O62" s="19"/>
      <c r="P62" s="19"/>
    </row>
    <row r="63" spans="1:16">
      <c r="A63" s="19"/>
      <c r="B63" s="51"/>
      <c r="C63" s="20"/>
      <c r="D63" s="40"/>
      <c r="E63" s="40"/>
      <c r="F63" s="19"/>
      <c r="G63" s="19"/>
      <c r="H63" s="19"/>
      <c r="I63" s="19"/>
      <c r="J63" s="19"/>
      <c r="K63" s="19"/>
      <c r="L63" s="19"/>
      <c r="M63" s="19"/>
      <c r="N63" s="19"/>
      <c r="O63" s="19"/>
      <c r="P63" s="19"/>
    </row>
    <row r="64" spans="1:16" ht="20.25">
      <c r="A64" s="19"/>
      <c r="B64" s="52"/>
      <c r="C64" s="20"/>
      <c r="D64" s="40"/>
      <c r="E64" s="40"/>
      <c r="F64" s="19"/>
      <c r="G64" s="19"/>
      <c r="H64" s="19"/>
      <c r="I64" s="19"/>
      <c r="J64" s="19"/>
      <c r="K64" s="19"/>
      <c r="L64" s="19"/>
      <c r="M64" s="19"/>
      <c r="N64" s="19"/>
      <c r="O64" s="19"/>
      <c r="P64" s="19"/>
    </row>
    <row r="65" spans="1:16">
      <c r="A65" s="19"/>
      <c r="B65" s="51"/>
      <c r="C65" s="20"/>
      <c r="D65" s="40"/>
      <c r="E65" s="40"/>
      <c r="F65" s="19"/>
      <c r="G65" s="19"/>
      <c r="H65" s="19"/>
      <c r="I65" s="19"/>
      <c r="J65" s="19"/>
      <c r="K65" s="19"/>
      <c r="L65" s="19"/>
      <c r="M65" s="19"/>
      <c r="N65" s="19"/>
      <c r="O65" s="19"/>
      <c r="P65" s="19"/>
    </row>
    <row r="66" spans="1:16" ht="20.25">
      <c r="A66" s="19"/>
      <c r="B66" s="52"/>
      <c r="C66" s="20"/>
      <c r="D66" s="40"/>
      <c r="E66" s="40"/>
      <c r="F66" s="19"/>
      <c r="G66" s="19"/>
      <c r="H66" s="19"/>
      <c r="I66" s="19"/>
      <c r="J66" s="19"/>
      <c r="K66" s="19"/>
      <c r="L66" s="19"/>
      <c r="M66" s="19"/>
      <c r="N66" s="19"/>
      <c r="O66" s="19"/>
      <c r="P66" s="19"/>
    </row>
    <row r="67" spans="1:16">
      <c r="A67" s="19"/>
      <c r="B67" s="51"/>
      <c r="C67" s="20"/>
      <c r="D67" s="40"/>
      <c r="E67" s="40"/>
      <c r="F67" s="19"/>
      <c r="G67" s="19"/>
      <c r="H67" s="19"/>
      <c r="I67" s="19"/>
      <c r="J67" s="19"/>
      <c r="K67" s="19"/>
      <c r="L67" s="19"/>
      <c r="M67" s="19"/>
      <c r="N67" s="19"/>
      <c r="O67" s="19"/>
      <c r="P67" s="19"/>
    </row>
    <row r="68" spans="1:16" ht="20.25">
      <c r="A68" s="19"/>
      <c r="B68" s="52"/>
      <c r="C68" s="20"/>
      <c r="D68" s="40"/>
      <c r="E68" s="40"/>
      <c r="F68" s="19"/>
      <c r="G68" s="19"/>
      <c r="H68" s="19"/>
      <c r="I68" s="19"/>
      <c r="J68" s="19"/>
      <c r="K68" s="19"/>
      <c r="L68" s="19"/>
      <c r="M68" s="19"/>
      <c r="N68" s="19"/>
      <c r="O68" s="19"/>
      <c r="P68" s="19"/>
    </row>
    <row r="69" spans="1:16">
      <c r="A69" s="19"/>
      <c r="B69" s="51"/>
      <c r="C69" s="20"/>
      <c r="D69" s="40"/>
      <c r="E69" s="40"/>
      <c r="F69" s="19"/>
      <c r="G69" s="19"/>
      <c r="H69" s="19"/>
      <c r="I69" s="19"/>
      <c r="J69" s="19"/>
      <c r="K69" s="19"/>
      <c r="L69" s="19"/>
      <c r="M69" s="19"/>
      <c r="N69" s="19"/>
      <c r="O69" s="19"/>
      <c r="P69" s="19"/>
    </row>
    <row r="70" spans="1:16" ht="20.25">
      <c r="A70" s="19"/>
      <c r="B70" s="52"/>
      <c r="C70" s="20"/>
      <c r="D70" s="40"/>
      <c r="E70" s="40"/>
      <c r="F70" s="19"/>
      <c r="G70" s="19"/>
      <c r="H70" s="19"/>
      <c r="I70" s="19"/>
      <c r="J70" s="19"/>
      <c r="K70" s="19"/>
      <c r="L70" s="19"/>
      <c r="M70" s="19"/>
      <c r="N70" s="19"/>
      <c r="O70" s="19"/>
      <c r="P70" s="19"/>
    </row>
    <row r="71" spans="1:16">
      <c r="A71" s="19"/>
      <c r="B71" s="51"/>
      <c r="C71" s="20"/>
      <c r="D71" s="40"/>
      <c r="E71" s="40"/>
      <c r="F71" s="19"/>
      <c r="G71" s="19"/>
      <c r="H71" s="19"/>
      <c r="I71" s="19"/>
      <c r="J71" s="19"/>
      <c r="K71" s="19"/>
      <c r="L71" s="19"/>
      <c r="M71" s="19"/>
      <c r="N71" s="19"/>
      <c r="O71" s="19"/>
      <c r="P71" s="19"/>
    </row>
    <row r="72" spans="1:16" ht="20.25">
      <c r="A72" s="19"/>
      <c r="B72" s="54"/>
      <c r="C72" s="20"/>
      <c r="D72" s="40"/>
      <c r="E72" s="40"/>
      <c r="F72" s="19"/>
      <c r="G72" s="19"/>
      <c r="H72" s="19"/>
      <c r="I72" s="19"/>
      <c r="J72" s="19"/>
      <c r="K72" s="22"/>
      <c r="L72" s="19"/>
      <c r="M72" s="19"/>
      <c r="N72" s="19"/>
      <c r="O72" s="19"/>
      <c r="P72" s="19"/>
    </row>
    <row r="73" spans="1:16">
      <c r="A73" s="19"/>
      <c r="B73" s="51"/>
      <c r="C73" s="20"/>
      <c r="D73" s="40"/>
      <c r="E73" s="40"/>
      <c r="F73" s="19"/>
      <c r="G73" s="19"/>
      <c r="H73" s="19"/>
      <c r="I73" s="19"/>
      <c r="J73" s="19"/>
      <c r="K73" s="19"/>
      <c r="L73" s="19"/>
      <c r="M73" s="19"/>
      <c r="N73" s="19"/>
      <c r="O73" s="19"/>
      <c r="P73" s="19"/>
    </row>
    <row r="74" spans="1:16" ht="20.25">
      <c r="A74" s="19"/>
      <c r="B74" s="54"/>
      <c r="C74" s="20"/>
      <c r="D74" s="40"/>
      <c r="E74" s="40"/>
      <c r="F74" s="19"/>
      <c r="G74" s="19"/>
      <c r="H74" s="19"/>
      <c r="I74" s="19"/>
      <c r="J74" s="19"/>
      <c r="K74" s="19"/>
      <c r="L74" s="19"/>
      <c r="M74" s="19"/>
      <c r="N74" s="19"/>
      <c r="O74" s="19"/>
      <c r="P74" s="19"/>
    </row>
    <row r="75" spans="1:16">
      <c r="A75" s="19"/>
      <c r="B75" s="55"/>
      <c r="C75" s="20"/>
      <c r="D75" s="40"/>
      <c r="E75" s="40"/>
      <c r="F75" s="19"/>
      <c r="G75" s="19"/>
      <c r="H75" s="19"/>
      <c r="I75" s="19"/>
      <c r="J75" s="19"/>
      <c r="K75" s="19"/>
      <c r="L75" s="19"/>
      <c r="M75" s="19"/>
      <c r="N75" s="19"/>
      <c r="O75" s="19"/>
      <c r="P75" s="19"/>
    </row>
    <row r="76" spans="1:16">
      <c r="A76" s="19"/>
      <c r="B76" s="55"/>
      <c r="C76" s="20"/>
      <c r="D76" s="40"/>
      <c r="E76" s="40"/>
      <c r="F76" s="19"/>
      <c r="G76" s="19"/>
      <c r="H76" s="19"/>
      <c r="I76" s="19"/>
      <c r="J76" s="19"/>
      <c r="K76" s="19"/>
      <c r="L76" s="19"/>
      <c r="M76" s="19"/>
      <c r="N76" s="19"/>
      <c r="O76" s="19"/>
      <c r="P76" s="19"/>
    </row>
    <row r="77" spans="1:16">
      <c r="A77" s="19"/>
      <c r="B77" s="56"/>
      <c r="C77" s="20"/>
      <c r="D77" s="40"/>
      <c r="E77" s="40"/>
      <c r="F77" s="19"/>
      <c r="G77" s="19"/>
      <c r="H77" s="19"/>
      <c r="I77" s="19"/>
      <c r="J77" s="19"/>
      <c r="K77" s="19"/>
      <c r="L77" s="19"/>
      <c r="M77" s="19"/>
      <c r="N77" s="19"/>
      <c r="O77" s="19"/>
      <c r="P77" s="19"/>
    </row>
    <row r="78" spans="1:16">
      <c r="A78" s="19"/>
      <c r="B78" s="51"/>
      <c r="C78" s="20"/>
      <c r="D78" s="40"/>
      <c r="E78" s="40"/>
      <c r="F78" s="19"/>
      <c r="G78" s="19"/>
      <c r="H78" s="19"/>
      <c r="I78" s="19"/>
      <c r="J78" s="19"/>
      <c r="K78" s="19"/>
      <c r="L78" s="19"/>
      <c r="M78" s="19"/>
      <c r="N78" s="19"/>
      <c r="O78" s="19"/>
      <c r="P78" s="19"/>
    </row>
    <row r="79" spans="1:16">
      <c r="A79" s="19"/>
      <c r="B79" s="51"/>
      <c r="C79" s="20"/>
      <c r="D79" s="40"/>
      <c r="E79" s="40"/>
      <c r="F79" s="19"/>
      <c r="G79" s="19"/>
      <c r="H79" s="19"/>
      <c r="I79" s="19"/>
      <c r="J79" s="19"/>
      <c r="K79" s="19"/>
      <c r="L79" s="19"/>
      <c r="M79" s="19"/>
      <c r="N79" s="19"/>
      <c r="O79" s="19"/>
      <c r="P79" s="19"/>
    </row>
    <row r="80" spans="1:16" ht="20.25">
      <c r="A80" s="19"/>
      <c r="B80" s="52"/>
      <c r="C80" s="20"/>
      <c r="D80" s="40"/>
      <c r="E80" s="40"/>
      <c r="F80" s="19"/>
      <c r="G80" s="19"/>
      <c r="H80" s="19"/>
      <c r="I80" s="19"/>
      <c r="J80" s="19"/>
      <c r="K80" s="19"/>
      <c r="L80" s="19"/>
      <c r="M80" s="19"/>
      <c r="N80" s="19"/>
      <c r="O80" s="19"/>
      <c r="P80" s="19"/>
    </row>
    <row r="81" spans="1:16">
      <c r="A81" s="19"/>
      <c r="B81" s="51"/>
      <c r="C81" s="20"/>
      <c r="D81" s="40"/>
      <c r="E81" s="40"/>
      <c r="F81" s="19"/>
      <c r="G81" s="19"/>
      <c r="H81" s="19"/>
      <c r="I81" s="19"/>
      <c r="J81" s="19"/>
      <c r="K81" s="22"/>
      <c r="L81" s="19"/>
      <c r="M81" s="19"/>
      <c r="N81" s="19"/>
      <c r="O81" s="19"/>
      <c r="P81" s="19"/>
    </row>
    <row r="82" spans="1:16" ht="20.25">
      <c r="A82" s="19"/>
      <c r="B82" s="52"/>
      <c r="C82" s="20"/>
      <c r="D82" s="40"/>
      <c r="E82" s="40"/>
      <c r="F82" s="19"/>
      <c r="G82" s="19"/>
      <c r="H82" s="19"/>
      <c r="I82" s="19"/>
      <c r="J82" s="19"/>
      <c r="K82" s="19"/>
      <c r="L82" s="19"/>
      <c r="M82" s="19"/>
      <c r="N82" s="19"/>
      <c r="O82" s="19"/>
      <c r="P82" s="19"/>
    </row>
    <row r="83" spans="1:16">
      <c r="A83" s="19"/>
      <c r="B83" s="51"/>
      <c r="C83" s="20"/>
      <c r="D83" s="40"/>
      <c r="E83" s="40"/>
      <c r="F83" s="19"/>
      <c r="G83" s="19"/>
      <c r="H83" s="19"/>
      <c r="I83" s="19"/>
      <c r="J83" s="19"/>
      <c r="K83" s="19"/>
      <c r="L83" s="19"/>
      <c r="M83" s="19"/>
      <c r="N83" s="19"/>
      <c r="O83" s="19"/>
      <c r="P83" s="19"/>
    </row>
    <row r="84" spans="1:16" ht="20.25">
      <c r="A84" s="19"/>
      <c r="B84" s="52"/>
      <c r="C84" s="20"/>
      <c r="D84" s="40"/>
      <c r="E84" s="40"/>
      <c r="F84" s="19"/>
      <c r="G84" s="19"/>
      <c r="H84" s="19"/>
      <c r="I84" s="19"/>
      <c r="J84" s="19"/>
      <c r="K84" s="19"/>
      <c r="L84" s="19"/>
      <c r="M84" s="19"/>
      <c r="N84" s="19"/>
      <c r="O84" s="19"/>
      <c r="P84" s="19"/>
    </row>
    <row r="85" spans="1:16">
      <c r="A85" s="19"/>
      <c r="B85" s="51"/>
      <c r="C85" s="20"/>
      <c r="D85" s="40"/>
      <c r="E85" s="40"/>
      <c r="F85" s="19"/>
      <c r="G85" s="19"/>
      <c r="H85" s="19"/>
      <c r="I85" s="19"/>
      <c r="J85" s="19"/>
      <c r="K85" s="19"/>
      <c r="L85" s="19"/>
      <c r="M85" s="19"/>
      <c r="N85" s="19"/>
      <c r="O85" s="19"/>
      <c r="P85" s="19"/>
    </row>
    <row r="86" spans="1:16" ht="20.25">
      <c r="A86" s="19"/>
      <c r="B86" s="52"/>
      <c r="C86" s="20"/>
      <c r="D86" s="40"/>
      <c r="E86" s="40"/>
      <c r="F86" s="19"/>
      <c r="G86" s="19"/>
      <c r="H86" s="19"/>
      <c r="I86" s="22"/>
      <c r="J86" s="22"/>
      <c r="K86" s="22"/>
      <c r="L86" s="22"/>
      <c r="M86" s="22"/>
      <c r="N86" s="19"/>
      <c r="O86" s="19"/>
      <c r="P86" s="19"/>
    </row>
    <row r="87" spans="1:16">
      <c r="A87" s="19"/>
      <c r="B87" s="51"/>
      <c r="C87" s="20"/>
      <c r="D87" s="40"/>
      <c r="E87" s="40"/>
      <c r="F87" s="19"/>
      <c r="G87" s="19"/>
      <c r="H87" s="19"/>
      <c r="I87" s="19"/>
      <c r="J87" s="19"/>
      <c r="K87" s="19"/>
      <c r="L87" s="19"/>
      <c r="M87" s="19"/>
      <c r="N87" s="19"/>
      <c r="O87" s="19"/>
      <c r="P87" s="19"/>
    </row>
    <row r="88" spans="1:16" ht="20.25">
      <c r="A88" s="19"/>
      <c r="B88" s="54"/>
      <c r="C88" s="20"/>
      <c r="D88" s="40"/>
      <c r="E88" s="40"/>
      <c r="F88" s="19"/>
      <c r="G88" s="19"/>
      <c r="H88" s="19"/>
      <c r="I88" s="19"/>
      <c r="J88" s="19"/>
      <c r="K88" s="19"/>
      <c r="L88" s="19"/>
      <c r="M88" s="19"/>
      <c r="N88" s="19"/>
      <c r="O88" s="19"/>
      <c r="P88" s="19"/>
    </row>
    <row r="89" spans="1:16">
      <c r="A89" s="19"/>
      <c r="B89" s="51"/>
      <c r="C89" s="20"/>
      <c r="D89" s="40"/>
      <c r="E89" s="40"/>
      <c r="F89" s="19"/>
      <c r="G89" s="19"/>
      <c r="H89" s="19"/>
      <c r="I89" s="19"/>
      <c r="J89" s="19"/>
      <c r="K89" s="19"/>
      <c r="L89" s="19"/>
      <c r="M89" s="19"/>
      <c r="N89" s="19"/>
      <c r="O89" s="19"/>
      <c r="P89" s="19"/>
    </row>
    <row r="90" spans="1:16" ht="20.25">
      <c r="A90" s="19"/>
      <c r="B90" s="52"/>
      <c r="C90" s="20"/>
      <c r="D90" s="40"/>
      <c r="E90" s="40"/>
      <c r="F90" s="19"/>
      <c r="G90" s="19"/>
      <c r="H90" s="19"/>
      <c r="I90" s="19"/>
      <c r="J90" s="19"/>
      <c r="K90" s="19"/>
      <c r="L90" s="19"/>
      <c r="M90" s="19"/>
      <c r="N90" s="19"/>
      <c r="O90" s="19"/>
      <c r="P90" s="19"/>
    </row>
    <row r="91" spans="1:16">
      <c r="A91" s="19"/>
      <c r="B91" s="51"/>
      <c r="C91" s="20"/>
      <c r="D91" s="40"/>
      <c r="E91" s="40"/>
      <c r="F91" s="19"/>
      <c r="G91" s="19"/>
      <c r="H91" s="19"/>
      <c r="I91" s="19"/>
      <c r="J91" s="19"/>
      <c r="K91" s="19"/>
      <c r="L91" s="19"/>
      <c r="M91" s="19"/>
      <c r="N91" s="19"/>
      <c r="O91" s="19"/>
      <c r="P91" s="19"/>
    </row>
    <row r="92" spans="1:16" ht="20.25">
      <c r="A92" s="19"/>
      <c r="B92" s="52"/>
      <c r="C92" s="20"/>
      <c r="D92" s="40"/>
      <c r="E92" s="40"/>
      <c r="F92" s="19"/>
      <c r="G92" s="19"/>
      <c r="H92" s="19"/>
      <c r="I92" s="19"/>
      <c r="J92" s="19"/>
      <c r="K92" s="19"/>
      <c r="L92" s="19"/>
      <c r="M92" s="19"/>
      <c r="N92" s="19"/>
      <c r="O92" s="19"/>
      <c r="P92" s="19"/>
    </row>
    <row r="93" spans="1:16">
      <c r="A93" s="19"/>
      <c r="B93" s="57"/>
      <c r="C93" s="20"/>
      <c r="D93" s="40"/>
      <c r="E93" s="40"/>
      <c r="F93" s="19"/>
      <c r="G93" s="19"/>
      <c r="H93" s="19"/>
      <c r="I93" s="19"/>
      <c r="J93" s="19"/>
      <c r="K93" s="19"/>
      <c r="L93" s="19"/>
      <c r="M93" s="19"/>
      <c r="N93" s="19"/>
      <c r="O93" s="19"/>
      <c r="P93" s="19"/>
    </row>
    <row r="94" spans="1:16" ht="20.25">
      <c r="A94" s="19"/>
      <c r="B94" s="49"/>
      <c r="C94" s="20"/>
      <c r="D94" s="40"/>
      <c r="E94" s="40"/>
      <c r="F94" s="19"/>
      <c r="G94" s="19"/>
      <c r="H94" s="19"/>
      <c r="I94" s="19"/>
      <c r="J94" s="19"/>
      <c r="K94" s="19"/>
      <c r="L94" s="19"/>
      <c r="M94" s="19"/>
      <c r="N94" s="19"/>
      <c r="O94" s="19"/>
      <c r="P94" s="19"/>
    </row>
    <row r="95" spans="1:16">
      <c r="A95" s="19"/>
      <c r="B95" s="57"/>
      <c r="C95" s="20"/>
      <c r="D95" s="40"/>
      <c r="E95" s="40"/>
      <c r="F95" s="19"/>
      <c r="G95" s="19"/>
      <c r="H95" s="19"/>
      <c r="I95" s="19"/>
      <c r="J95" s="19"/>
      <c r="K95" s="19"/>
      <c r="L95" s="19"/>
      <c r="M95" s="19"/>
      <c r="N95" s="19"/>
      <c r="O95" s="19"/>
      <c r="P95" s="19"/>
    </row>
    <row r="96" spans="1:16">
      <c r="A96" s="19"/>
      <c r="B96" s="40"/>
      <c r="C96" s="40"/>
      <c r="D96" s="40"/>
      <c r="E96" s="40"/>
      <c r="F96" s="19"/>
      <c r="G96" s="19"/>
      <c r="H96" s="19"/>
      <c r="I96" s="19"/>
      <c r="J96" s="19"/>
      <c r="K96" s="19"/>
      <c r="L96" s="19"/>
      <c r="M96" s="19"/>
      <c r="N96" s="19"/>
      <c r="O96" s="19"/>
      <c r="P96" s="19"/>
    </row>
    <row r="97" spans="1:16">
      <c r="A97" s="19"/>
      <c r="B97" s="40"/>
      <c r="C97" s="40"/>
      <c r="D97" s="40"/>
      <c r="E97" s="40"/>
      <c r="F97" s="19"/>
      <c r="G97" s="19"/>
      <c r="H97" s="19"/>
      <c r="I97" s="19"/>
      <c r="J97" s="19"/>
      <c r="K97" s="19"/>
      <c r="L97" s="19"/>
      <c r="M97" s="19"/>
      <c r="N97" s="19"/>
      <c r="O97" s="19"/>
      <c r="P97" s="19"/>
    </row>
    <row r="98" spans="1:16">
      <c r="A98" s="19"/>
      <c r="B98" s="40"/>
      <c r="C98" s="40"/>
      <c r="D98" s="40"/>
      <c r="E98" s="40"/>
      <c r="F98" s="19"/>
      <c r="G98" s="19"/>
      <c r="H98" s="19"/>
      <c r="I98" s="19"/>
      <c r="J98" s="19"/>
      <c r="K98" s="19"/>
      <c r="L98" s="19"/>
      <c r="M98" s="19"/>
      <c r="N98" s="19"/>
      <c r="O98" s="19"/>
      <c r="P98" s="19"/>
    </row>
    <row r="99" spans="1:16">
      <c r="A99" s="19"/>
      <c r="B99" s="40"/>
      <c r="C99" s="40"/>
      <c r="D99" s="40"/>
      <c r="E99" s="40"/>
      <c r="F99" s="19"/>
      <c r="G99" s="19"/>
      <c r="H99" s="19"/>
      <c r="I99" s="19"/>
      <c r="J99" s="19"/>
      <c r="K99" s="19"/>
      <c r="L99" s="19"/>
      <c r="M99" s="21"/>
      <c r="N99" s="19"/>
      <c r="O99" s="19"/>
      <c r="P99" s="19"/>
    </row>
    <row r="100" spans="1:16">
      <c r="A100" s="19"/>
      <c r="B100" s="40"/>
      <c r="C100" s="40"/>
      <c r="D100" s="40"/>
      <c r="E100" s="40"/>
      <c r="F100" s="19"/>
      <c r="G100" s="19"/>
      <c r="H100" s="19"/>
      <c r="I100" s="19"/>
      <c r="J100" s="19"/>
      <c r="K100" s="19"/>
      <c r="L100" s="19"/>
      <c r="M100" s="21"/>
      <c r="N100" s="19"/>
      <c r="O100" s="19"/>
      <c r="P100" s="19"/>
    </row>
    <row r="101" spans="1:16">
      <c r="A101" s="19"/>
      <c r="B101" s="40"/>
      <c r="C101" s="40"/>
      <c r="D101" s="40"/>
      <c r="E101" s="40"/>
      <c r="F101" s="19"/>
      <c r="G101" s="19"/>
      <c r="H101" s="19"/>
      <c r="I101" s="19"/>
      <c r="J101" s="19"/>
      <c r="K101" s="19"/>
      <c r="L101" s="19"/>
      <c r="M101" s="19"/>
      <c r="N101" s="19"/>
      <c r="O101" s="19"/>
      <c r="P101" s="19"/>
    </row>
    <row r="102" spans="1:16">
      <c r="A102" s="19"/>
      <c r="B102" s="40"/>
      <c r="C102" s="40"/>
      <c r="D102" s="40"/>
      <c r="E102" s="40"/>
      <c r="F102" s="19"/>
      <c r="G102" s="19"/>
      <c r="H102" s="19"/>
      <c r="I102" s="19"/>
      <c r="J102" s="19"/>
      <c r="K102" s="19"/>
      <c r="L102" s="19"/>
      <c r="M102" s="19"/>
      <c r="N102" s="19"/>
      <c r="O102" s="19"/>
      <c r="P102" s="19"/>
    </row>
    <row r="103" spans="1:16">
      <c r="A103" s="19"/>
      <c r="B103" s="40"/>
      <c r="C103" s="40"/>
      <c r="D103" s="40"/>
      <c r="E103" s="40"/>
      <c r="F103" s="19"/>
      <c r="G103" s="19"/>
      <c r="H103" s="19"/>
      <c r="I103" s="19"/>
      <c r="J103" s="19"/>
      <c r="K103" s="19"/>
      <c r="L103" s="19"/>
      <c r="M103" s="19"/>
      <c r="N103" s="19"/>
      <c r="O103" s="19"/>
      <c r="P103" s="19"/>
    </row>
  </sheetData>
  <mergeCells count="11">
    <mergeCell ref="X8:Z8"/>
    <mergeCell ref="AA8:AA9"/>
    <mergeCell ref="AB8:AB9"/>
    <mergeCell ref="C10:AB10"/>
    <mergeCell ref="H21:J21"/>
    <mergeCell ref="B8:B9"/>
    <mergeCell ref="C8:D8"/>
    <mergeCell ref="E8:H8"/>
    <mergeCell ref="I8:N8"/>
    <mergeCell ref="S8:W8"/>
    <mergeCell ref="O8:R8"/>
  </mergeCells>
  <printOptions horizontalCentered="1"/>
  <pageMargins left="0.23622047244094491" right="0.23622047244094491" top="0.74803149606299213" bottom="0.74803149606299213" header="0.31496062992125984" footer="0.31496062992125984"/>
  <pageSetup paperSize="8" scale="58" fitToHeight="0" orientation="landscape" r:id="rId1"/>
</worksheet>
</file>

<file path=xl/worksheets/sheet5.xml><?xml version="1.0" encoding="utf-8"?>
<worksheet xmlns="http://schemas.openxmlformats.org/spreadsheetml/2006/main" xmlns:r="http://schemas.openxmlformats.org/officeDocument/2006/relationships">
  <dimension ref="B1:N43"/>
  <sheetViews>
    <sheetView showGridLines="0" showZeros="0" view="pageBreakPreview" zoomScaleNormal="75" zoomScaleSheetLayoutView="100" workbookViewId="0">
      <selection activeCell="N2" sqref="N2"/>
    </sheetView>
  </sheetViews>
  <sheetFormatPr defaultRowHeight="12.75"/>
  <cols>
    <col min="1" max="1" width="2" style="476" customWidth="1"/>
    <col min="2" max="2" width="10.5703125" style="476" customWidth="1"/>
    <col min="3" max="3" width="10.28515625" style="476" customWidth="1"/>
    <col min="4" max="4" width="40.140625" style="476" customWidth="1"/>
    <col min="5" max="6" width="14.42578125" style="477" customWidth="1"/>
    <col min="7" max="12" width="14.42578125" style="476" customWidth="1"/>
    <col min="13" max="13" width="2.140625" style="476" customWidth="1"/>
    <col min="14" max="14" width="15.140625" style="476" customWidth="1"/>
    <col min="15" max="257" width="9.140625" style="476"/>
    <col min="258" max="258" width="10.5703125" style="476" customWidth="1"/>
    <col min="259" max="259" width="10.28515625" style="476" customWidth="1"/>
    <col min="260" max="260" width="51" style="476" customWidth="1"/>
    <col min="261" max="261" width="14.42578125" style="476" customWidth="1"/>
    <col min="262" max="262" width="13.28515625" style="476" customWidth="1"/>
    <col min="263" max="268" width="12.5703125" style="476" customWidth="1"/>
    <col min="269" max="513" width="9.140625" style="476"/>
    <col min="514" max="514" width="10.5703125" style="476" customWidth="1"/>
    <col min="515" max="515" width="10.28515625" style="476" customWidth="1"/>
    <col min="516" max="516" width="51" style="476" customWidth="1"/>
    <col min="517" max="517" width="14.42578125" style="476" customWidth="1"/>
    <col min="518" max="518" width="13.28515625" style="476" customWidth="1"/>
    <col min="519" max="524" width="12.5703125" style="476" customWidth="1"/>
    <col min="525" max="769" width="9.140625" style="476"/>
    <col min="770" max="770" width="10.5703125" style="476" customWidth="1"/>
    <col min="771" max="771" width="10.28515625" style="476" customWidth="1"/>
    <col min="772" max="772" width="51" style="476" customWidth="1"/>
    <col min="773" max="773" width="14.42578125" style="476" customWidth="1"/>
    <col min="774" max="774" width="13.28515625" style="476" customWidth="1"/>
    <col min="775" max="780" width="12.5703125" style="476" customWidth="1"/>
    <col min="781" max="1025" width="9.140625" style="476"/>
    <col min="1026" max="1026" width="10.5703125" style="476" customWidth="1"/>
    <col min="1027" max="1027" width="10.28515625" style="476" customWidth="1"/>
    <col min="1028" max="1028" width="51" style="476" customWidth="1"/>
    <col min="1029" max="1029" width="14.42578125" style="476" customWidth="1"/>
    <col min="1030" max="1030" width="13.28515625" style="476" customWidth="1"/>
    <col min="1031" max="1036" width="12.5703125" style="476" customWidth="1"/>
    <col min="1037" max="1281" width="9.140625" style="476"/>
    <col min="1282" max="1282" width="10.5703125" style="476" customWidth="1"/>
    <col min="1283" max="1283" width="10.28515625" style="476" customWidth="1"/>
    <col min="1284" max="1284" width="51" style="476" customWidth="1"/>
    <col min="1285" max="1285" width="14.42578125" style="476" customWidth="1"/>
    <col min="1286" max="1286" width="13.28515625" style="476" customWidth="1"/>
    <col min="1287" max="1292" width="12.5703125" style="476" customWidth="1"/>
    <col min="1293" max="1537" width="9.140625" style="476"/>
    <col min="1538" max="1538" width="10.5703125" style="476" customWidth="1"/>
    <col min="1539" max="1539" width="10.28515625" style="476" customWidth="1"/>
    <col min="1540" max="1540" width="51" style="476" customWidth="1"/>
    <col min="1541" max="1541" width="14.42578125" style="476" customWidth="1"/>
    <col min="1542" max="1542" width="13.28515625" style="476" customWidth="1"/>
    <col min="1543" max="1548" width="12.5703125" style="476" customWidth="1"/>
    <col min="1549" max="1793" width="9.140625" style="476"/>
    <col min="1794" max="1794" width="10.5703125" style="476" customWidth="1"/>
    <col min="1795" max="1795" width="10.28515625" style="476" customWidth="1"/>
    <col min="1796" max="1796" width="51" style="476" customWidth="1"/>
    <col min="1797" max="1797" width="14.42578125" style="476" customWidth="1"/>
    <col min="1798" max="1798" width="13.28515625" style="476" customWidth="1"/>
    <col min="1799" max="1804" width="12.5703125" style="476" customWidth="1"/>
    <col min="1805" max="2049" width="9.140625" style="476"/>
    <col min="2050" max="2050" width="10.5703125" style="476" customWidth="1"/>
    <col min="2051" max="2051" width="10.28515625" style="476" customWidth="1"/>
    <col min="2052" max="2052" width="51" style="476" customWidth="1"/>
    <col min="2053" max="2053" width="14.42578125" style="476" customWidth="1"/>
    <col min="2054" max="2054" width="13.28515625" style="476" customWidth="1"/>
    <col min="2055" max="2060" width="12.5703125" style="476" customWidth="1"/>
    <col min="2061" max="2305" width="9.140625" style="476"/>
    <col min="2306" max="2306" width="10.5703125" style="476" customWidth="1"/>
    <col min="2307" max="2307" width="10.28515625" style="476" customWidth="1"/>
    <col min="2308" max="2308" width="51" style="476" customWidth="1"/>
    <col min="2309" max="2309" width="14.42578125" style="476" customWidth="1"/>
    <col min="2310" max="2310" width="13.28515625" style="476" customWidth="1"/>
    <col min="2311" max="2316" width="12.5703125" style="476" customWidth="1"/>
    <col min="2317" max="2561" width="9.140625" style="476"/>
    <col min="2562" max="2562" width="10.5703125" style="476" customWidth="1"/>
    <col min="2563" max="2563" width="10.28515625" style="476" customWidth="1"/>
    <col min="2564" max="2564" width="51" style="476" customWidth="1"/>
    <col min="2565" max="2565" width="14.42578125" style="476" customWidth="1"/>
    <col min="2566" max="2566" width="13.28515625" style="476" customWidth="1"/>
    <col min="2567" max="2572" width="12.5703125" style="476" customWidth="1"/>
    <col min="2573" max="2817" width="9.140625" style="476"/>
    <col min="2818" max="2818" width="10.5703125" style="476" customWidth="1"/>
    <col min="2819" max="2819" width="10.28515625" style="476" customWidth="1"/>
    <col min="2820" max="2820" width="51" style="476" customWidth="1"/>
    <col min="2821" max="2821" width="14.42578125" style="476" customWidth="1"/>
    <col min="2822" max="2822" width="13.28515625" style="476" customWidth="1"/>
    <col min="2823" max="2828" width="12.5703125" style="476" customWidth="1"/>
    <col min="2829" max="3073" width="9.140625" style="476"/>
    <col min="3074" max="3074" width="10.5703125" style="476" customWidth="1"/>
    <col min="3075" max="3075" width="10.28515625" style="476" customWidth="1"/>
    <col min="3076" max="3076" width="51" style="476" customWidth="1"/>
    <col min="3077" max="3077" width="14.42578125" style="476" customWidth="1"/>
    <col min="3078" max="3078" width="13.28515625" style="476" customWidth="1"/>
    <col min="3079" max="3084" width="12.5703125" style="476" customWidth="1"/>
    <col min="3085" max="3329" width="9.140625" style="476"/>
    <col min="3330" max="3330" width="10.5703125" style="476" customWidth="1"/>
    <col min="3331" max="3331" width="10.28515625" style="476" customWidth="1"/>
    <col min="3332" max="3332" width="51" style="476" customWidth="1"/>
    <col min="3333" max="3333" width="14.42578125" style="476" customWidth="1"/>
    <col min="3334" max="3334" width="13.28515625" style="476" customWidth="1"/>
    <col min="3335" max="3340" width="12.5703125" style="476" customWidth="1"/>
    <col min="3341" max="3585" width="9.140625" style="476"/>
    <col min="3586" max="3586" width="10.5703125" style="476" customWidth="1"/>
    <col min="3587" max="3587" width="10.28515625" style="476" customWidth="1"/>
    <col min="3588" max="3588" width="51" style="476" customWidth="1"/>
    <col min="3589" max="3589" width="14.42578125" style="476" customWidth="1"/>
    <col min="3590" max="3590" width="13.28515625" style="476" customWidth="1"/>
    <col min="3591" max="3596" width="12.5703125" style="476" customWidth="1"/>
    <col min="3597" max="3841" width="9.140625" style="476"/>
    <col min="3842" max="3842" width="10.5703125" style="476" customWidth="1"/>
    <col min="3843" max="3843" width="10.28515625" style="476" customWidth="1"/>
    <col min="3844" max="3844" width="51" style="476" customWidth="1"/>
    <col min="3845" max="3845" width="14.42578125" style="476" customWidth="1"/>
    <col min="3846" max="3846" width="13.28515625" style="476" customWidth="1"/>
    <col min="3847" max="3852" width="12.5703125" style="476" customWidth="1"/>
    <col min="3853" max="4097" width="9.140625" style="476"/>
    <col min="4098" max="4098" width="10.5703125" style="476" customWidth="1"/>
    <col min="4099" max="4099" width="10.28515625" style="476" customWidth="1"/>
    <col min="4100" max="4100" width="51" style="476" customWidth="1"/>
    <col min="4101" max="4101" width="14.42578125" style="476" customWidth="1"/>
    <col min="4102" max="4102" width="13.28515625" style="476" customWidth="1"/>
    <col min="4103" max="4108" width="12.5703125" style="476" customWidth="1"/>
    <col min="4109" max="4353" width="9.140625" style="476"/>
    <col min="4354" max="4354" width="10.5703125" style="476" customWidth="1"/>
    <col min="4355" max="4355" width="10.28515625" style="476" customWidth="1"/>
    <col min="4356" max="4356" width="51" style="476" customWidth="1"/>
    <col min="4357" max="4357" width="14.42578125" style="476" customWidth="1"/>
    <col min="4358" max="4358" width="13.28515625" style="476" customWidth="1"/>
    <col min="4359" max="4364" width="12.5703125" style="476" customWidth="1"/>
    <col min="4365" max="4609" width="9.140625" style="476"/>
    <col min="4610" max="4610" width="10.5703125" style="476" customWidth="1"/>
    <col min="4611" max="4611" width="10.28515625" style="476" customWidth="1"/>
    <col min="4612" max="4612" width="51" style="476" customWidth="1"/>
    <col min="4613" max="4613" width="14.42578125" style="476" customWidth="1"/>
    <col min="4614" max="4614" width="13.28515625" style="476" customWidth="1"/>
    <col min="4615" max="4620" width="12.5703125" style="476" customWidth="1"/>
    <col min="4621" max="4865" width="9.140625" style="476"/>
    <col min="4866" max="4866" width="10.5703125" style="476" customWidth="1"/>
    <col min="4867" max="4867" width="10.28515625" style="476" customWidth="1"/>
    <col min="4868" max="4868" width="51" style="476" customWidth="1"/>
    <col min="4869" max="4869" width="14.42578125" style="476" customWidth="1"/>
    <col min="4870" max="4870" width="13.28515625" style="476" customWidth="1"/>
    <col min="4871" max="4876" width="12.5703125" style="476" customWidth="1"/>
    <col min="4877" max="5121" width="9.140625" style="476"/>
    <col min="5122" max="5122" width="10.5703125" style="476" customWidth="1"/>
    <col min="5123" max="5123" width="10.28515625" style="476" customWidth="1"/>
    <col min="5124" max="5124" width="51" style="476" customWidth="1"/>
    <col min="5125" max="5125" width="14.42578125" style="476" customWidth="1"/>
    <col min="5126" max="5126" width="13.28515625" style="476" customWidth="1"/>
    <col min="5127" max="5132" width="12.5703125" style="476" customWidth="1"/>
    <col min="5133" max="5377" width="9.140625" style="476"/>
    <col min="5378" max="5378" width="10.5703125" style="476" customWidth="1"/>
    <col min="5379" max="5379" width="10.28515625" style="476" customWidth="1"/>
    <col min="5380" max="5380" width="51" style="476" customWidth="1"/>
    <col min="5381" max="5381" width="14.42578125" style="476" customWidth="1"/>
    <col min="5382" max="5382" width="13.28515625" style="476" customWidth="1"/>
    <col min="5383" max="5388" width="12.5703125" style="476" customWidth="1"/>
    <col min="5389" max="5633" width="9.140625" style="476"/>
    <col min="5634" max="5634" width="10.5703125" style="476" customWidth="1"/>
    <col min="5635" max="5635" width="10.28515625" style="476" customWidth="1"/>
    <col min="5636" max="5636" width="51" style="476" customWidth="1"/>
    <col min="5637" max="5637" width="14.42578125" style="476" customWidth="1"/>
    <col min="5638" max="5638" width="13.28515625" style="476" customWidth="1"/>
    <col min="5639" max="5644" width="12.5703125" style="476" customWidth="1"/>
    <col min="5645" max="5889" width="9.140625" style="476"/>
    <col min="5890" max="5890" width="10.5703125" style="476" customWidth="1"/>
    <col min="5891" max="5891" width="10.28515625" style="476" customWidth="1"/>
    <col min="5892" max="5892" width="51" style="476" customWidth="1"/>
    <col min="5893" max="5893" width="14.42578125" style="476" customWidth="1"/>
    <col min="5894" max="5894" width="13.28515625" style="476" customWidth="1"/>
    <col min="5895" max="5900" width="12.5703125" style="476" customWidth="1"/>
    <col min="5901" max="6145" width="9.140625" style="476"/>
    <col min="6146" max="6146" width="10.5703125" style="476" customWidth="1"/>
    <col min="6147" max="6147" width="10.28515625" style="476" customWidth="1"/>
    <col min="6148" max="6148" width="51" style="476" customWidth="1"/>
    <col min="6149" max="6149" width="14.42578125" style="476" customWidth="1"/>
    <col min="6150" max="6150" width="13.28515625" style="476" customWidth="1"/>
    <col min="6151" max="6156" width="12.5703125" style="476" customWidth="1"/>
    <col min="6157" max="6401" width="9.140625" style="476"/>
    <col min="6402" max="6402" width="10.5703125" style="476" customWidth="1"/>
    <col min="6403" max="6403" width="10.28515625" style="476" customWidth="1"/>
    <col min="6404" max="6404" width="51" style="476" customWidth="1"/>
    <col min="6405" max="6405" width="14.42578125" style="476" customWidth="1"/>
    <col min="6406" max="6406" width="13.28515625" style="476" customWidth="1"/>
    <col min="6407" max="6412" width="12.5703125" style="476" customWidth="1"/>
    <col min="6413" max="6657" width="9.140625" style="476"/>
    <col min="6658" max="6658" width="10.5703125" style="476" customWidth="1"/>
    <col min="6659" max="6659" width="10.28515625" style="476" customWidth="1"/>
    <col min="6660" max="6660" width="51" style="476" customWidth="1"/>
    <col min="6661" max="6661" width="14.42578125" style="476" customWidth="1"/>
    <col min="6662" max="6662" width="13.28515625" style="476" customWidth="1"/>
    <col min="6663" max="6668" width="12.5703125" style="476" customWidth="1"/>
    <col min="6669" max="6913" width="9.140625" style="476"/>
    <col min="6914" max="6914" width="10.5703125" style="476" customWidth="1"/>
    <col min="6915" max="6915" width="10.28515625" style="476" customWidth="1"/>
    <col min="6916" max="6916" width="51" style="476" customWidth="1"/>
    <col min="6917" max="6917" width="14.42578125" style="476" customWidth="1"/>
    <col min="6918" max="6918" width="13.28515625" style="476" customWidth="1"/>
    <col min="6919" max="6924" width="12.5703125" style="476" customWidth="1"/>
    <col min="6925" max="7169" width="9.140625" style="476"/>
    <col min="7170" max="7170" width="10.5703125" style="476" customWidth="1"/>
    <col min="7171" max="7171" width="10.28515625" style="476" customWidth="1"/>
    <col min="7172" max="7172" width="51" style="476" customWidth="1"/>
    <col min="7173" max="7173" width="14.42578125" style="476" customWidth="1"/>
    <col min="7174" max="7174" width="13.28515625" style="476" customWidth="1"/>
    <col min="7175" max="7180" width="12.5703125" style="476" customWidth="1"/>
    <col min="7181" max="7425" width="9.140625" style="476"/>
    <col min="7426" max="7426" width="10.5703125" style="476" customWidth="1"/>
    <col min="7427" max="7427" width="10.28515625" style="476" customWidth="1"/>
    <col min="7428" max="7428" width="51" style="476" customWidth="1"/>
    <col min="7429" max="7429" width="14.42578125" style="476" customWidth="1"/>
    <col min="7430" max="7430" width="13.28515625" style="476" customWidth="1"/>
    <col min="7431" max="7436" width="12.5703125" style="476" customWidth="1"/>
    <col min="7437" max="7681" width="9.140625" style="476"/>
    <col min="7682" max="7682" width="10.5703125" style="476" customWidth="1"/>
    <col min="7683" max="7683" width="10.28515625" style="476" customWidth="1"/>
    <col min="7684" max="7684" width="51" style="476" customWidth="1"/>
    <col min="7685" max="7685" width="14.42578125" style="476" customWidth="1"/>
    <col min="7686" max="7686" width="13.28515625" style="476" customWidth="1"/>
    <col min="7687" max="7692" width="12.5703125" style="476" customWidth="1"/>
    <col min="7693" max="7937" width="9.140625" style="476"/>
    <col min="7938" max="7938" width="10.5703125" style="476" customWidth="1"/>
    <col min="7939" max="7939" width="10.28515625" style="476" customWidth="1"/>
    <col min="7940" max="7940" width="51" style="476" customWidth="1"/>
    <col min="7941" max="7941" width="14.42578125" style="476" customWidth="1"/>
    <col min="7942" max="7942" width="13.28515625" style="476" customWidth="1"/>
    <col min="7943" max="7948" width="12.5703125" style="476" customWidth="1"/>
    <col min="7949" max="8193" width="9.140625" style="476"/>
    <col min="8194" max="8194" width="10.5703125" style="476" customWidth="1"/>
    <col min="8195" max="8195" width="10.28515625" style="476" customWidth="1"/>
    <col min="8196" max="8196" width="51" style="476" customWidth="1"/>
    <col min="8197" max="8197" width="14.42578125" style="476" customWidth="1"/>
    <col min="8198" max="8198" width="13.28515625" style="476" customWidth="1"/>
    <col min="8199" max="8204" width="12.5703125" style="476" customWidth="1"/>
    <col min="8205" max="8449" width="9.140625" style="476"/>
    <col min="8450" max="8450" width="10.5703125" style="476" customWidth="1"/>
    <col min="8451" max="8451" width="10.28515625" style="476" customWidth="1"/>
    <col min="8452" max="8452" width="51" style="476" customWidth="1"/>
    <col min="8453" max="8453" width="14.42578125" style="476" customWidth="1"/>
    <col min="8454" max="8454" width="13.28515625" style="476" customWidth="1"/>
    <col min="8455" max="8460" width="12.5703125" style="476" customWidth="1"/>
    <col min="8461" max="8705" width="9.140625" style="476"/>
    <col min="8706" max="8706" width="10.5703125" style="476" customWidth="1"/>
    <col min="8707" max="8707" width="10.28515625" style="476" customWidth="1"/>
    <col min="8708" max="8708" width="51" style="476" customWidth="1"/>
    <col min="8709" max="8709" width="14.42578125" style="476" customWidth="1"/>
    <col min="8710" max="8710" width="13.28515625" style="476" customWidth="1"/>
    <col min="8711" max="8716" width="12.5703125" style="476" customWidth="1"/>
    <col min="8717" max="8961" width="9.140625" style="476"/>
    <col min="8962" max="8962" width="10.5703125" style="476" customWidth="1"/>
    <col min="8963" max="8963" width="10.28515625" style="476" customWidth="1"/>
    <col min="8964" max="8964" width="51" style="476" customWidth="1"/>
    <col min="8965" max="8965" width="14.42578125" style="476" customWidth="1"/>
    <col min="8966" max="8966" width="13.28515625" style="476" customWidth="1"/>
    <col min="8967" max="8972" width="12.5703125" style="476" customWidth="1"/>
    <col min="8973" max="9217" width="9.140625" style="476"/>
    <col min="9218" max="9218" width="10.5703125" style="476" customWidth="1"/>
    <col min="9219" max="9219" width="10.28515625" style="476" customWidth="1"/>
    <col min="9220" max="9220" width="51" style="476" customWidth="1"/>
    <col min="9221" max="9221" width="14.42578125" style="476" customWidth="1"/>
    <col min="9222" max="9222" width="13.28515625" style="476" customWidth="1"/>
    <col min="9223" max="9228" width="12.5703125" style="476" customWidth="1"/>
    <col min="9229" max="9473" width="9.140625" style="476"/>
    <col min="9474" max="9474" width="10.5703125" style="476" customWidth="1"/>
    <col min="9475" max="9475" width="10.28515625" style="476" customWidth="1"/>
    <col min="9476" max="9476" width="51" style="476" customWidth="1"/>
    <col min="9477" max="9477" width="14.42578125" style="476" customWidth="1"/>
    <col min="9478" max="9478" width="13.28515625" style="476" customWidth="1"/>
    <col min="9479" max="9484" width="12.5703125" style="476" customWidth="1"/>
    <col min="9485" max="9729" width="9.140625" style="476"/>
    <col min="9730" max="9730" width="10.5703125" style="476" customWidth="1"/>
    <col min="9731" max="9731" width="10.28515625" style="476" customWidth="1"/>
    <col min="9732" max="9732" width="51" style="476" customWidth="1"/>
    <col min="9733" max="9733" width="14.42578125" style="476" customWidth="1"/>
    <col min="9734" max="9734" width="13.28515625" style="476" customWidth="1"/>
    <col min="9735" max="9740" width="12.5703125" style="476" customWidth="1"/>
    <col min="9741" max="9985" width="9.140625" style="476"/>
    <col min="9986" max="9986" width="10.5703125" style="476" customWidth="1"/>
    <col min="9987" max="9987" width="10.28515625" style="476" customWidth="1"/>
    <col min="9988" max="9988" width="51" style="476" customWidth="1"/>
    <col min="9989" max="9989" width="14.42578125" style="476" customWidth="1"/>
    <col min="9990" max="9990" width="13.28515625" style="476" customWidth="1"/>
    <col min="9991" max="9996" width="12.5703125" style="476" customWidth="1"/>
    <col min="9997" max="10241" width="9.140625" style="476"/>
    <col min="10242" max="10242" width="10.5703125" style="476" customWidth="1"/>
    <col min="10243" max="10243" width="10.28515625" style="476" customWidth="1"/>
    <col min="10244" max="10244" width="51" style="476" customWidth="1"/>
    <col min="10245" max="10245" width="14.42578125" style="476" customWidth="1"/>
    <col min="10246" max="10246" width="13.28515625" style="476" customWidth="1"/>
    <col min="10247" max="10252" width="12.5703125" style="476" customWidth="1"/>
    <col min="10253" max="10497" width="9.140625" style="476"/>
    <col min="10498" max="10498" width="10.5703125" style="476" customWidth="1"/>
    <col min="10499" max="10499" width="10.28515625" style="476" customWidth="1"/>
    <col min="10500" max="10500" width="51" style="476" customWidth="1"/>
    <col min="10501" max="10501" width="14.42578125" style="476" customWidth="1"/>
    <col min="10502" max="10502" width="13.28515625" style="476" customWidth="1"/>
    <col min="10503" max="10508" width="12.5703125" style="476" customWidth="1"/>
    <col min="10509" max="10753" width="9.140625" style="476"/>
    <col min="10754" max="10754" width="10.5703125" style="476" customWidth="1"/>
    <col min="10755" max="10755" width="10.28515625" style="476" customWidth="1"/>
    <col min="10756" max="10756" width="51" style="476" customWidth="1"/>
    <col min="10757" max="10757" width="14.42578125" style="476" customWidth="1"/>
    <col min="10758" max="10758" width="13.28515625" style="476" customWidth="1"/>
    <col min="10759" max="10764" width="12.5703125" style="476" customWidth="1"/>
    <col min="10765" max="11009" width="9.140625" style="476"/>
    <col min="11010" max="11010" width="10.5703125" style="476" customWidth="1"/>
    <col min="11011" max="11011" width="10.28515625" style="476" customWidth="1"/>
    <col min="11012" max="11012" width="51" style="476" customWidth="1"/>
    <col min="11013" max="11013" width="14.42578125" style="476" customWidth="1"/>
    <col min="11014" max="11014" width="13.28515625" style="476" customWidth="1"/>
    <col min="11015" max="11020" width="12.5703125" style="476" customWidth="1"/>
    <col min="11021" max="11265" width="9.140625" style="476"/>
    <col min="11266" max="11266" width="10.5703125" style="476" customWidth="1"/>
    <col min="11267" max="11267" width="10.28515625" style="476" customWidth="1"/>
    <col min="11268" max="11268" width="51" style="476" customWidth="1"/>
    <col min="11269" max="11269" width="14.42578125" style="476" customWidth="1"/>
    <col min="11270" max="11270" width="13.28515625" style="476" customWidth="1"/>
    <col min="11271" max="11276" width="12.5703125" style="476" customWidth="1"/>
    <col min="11277" max="11521" width="9.140625" style="476"/>
    <col min="11522" max="11522" width="10.5703125" style="476" customWidth="1"/>
    <col min="11523" max="11523" width="10.28515625" style="476" customWidth="1"/>
    <col min="11524" max="11524" width="51" style="476" customWidth="1"/>
    <col min="11525" max="11525" width="14.42578125" style="476" customWidth="1"/>
    <col min="11526" max="11526" width="13.28515625" style="476" customWidth="1"/>
    <col min="11527" max="11532" width="12.5703125" style="476" customWidth="1"/>
    <col min="11533" max="11777" width="9.140625" style="476"/>
    <col min="11778" max="11778" width="10.5703125" style="476" customWidth="1"/>
    <col min="11779" max="11779" width="10.28515625" style="476" customWidth="1"/>
    <col min="11780" max="11780" width="51" style="476" customWidth="1"/>
    <col min="11781" max="11781" width="14.42578125" style="476" customWidth="1"/>
    <col min="11782" max="11782" width="13.28515625" style="476" customWidth="1"/>
    <col min="11783" max="11788" width="12.5703125" style="476" customWidth="1"/>
    <col min="11789" max="12033" width="9.140625" style="476"/>
    <col min="12034" max="12034" width="10.5703125" style="476" customWidth="1"/>
    <col min="12035" max="12035" width="10.28515625" style="476" customWidth="1"/>
    <col min="12036" max="12036" width="51" style="476" customWidth="1"/>
    <col min="12037" max="12037" width="14.42578125" style="476" customWidth="1"/>
    <col min="12038" max="12038" width="13.28515625" style="476" customWidth="1"/>
    <col min="12039" max="12044" width="12.5703125" style="476" customWidth="1"/>
    <col min="12045" max="12289" width="9.140625" style="476"/>
    <col min="12290" max="12290" width="10.5703125" style="476" customWidth="1"/>
    <col min="12291" max="12291" width="10.28515625" style="476" customWidth="1"/>
    <col min="12292" max="12292" width="51" style="476" customWidth="1"/>
    <col min="12293" max="12293" width="14.42578125" style="476" customWidth="1"/>
    <col min="12294" max="12294" width="13.28515625" style="476" customWidth="1"/>
    <col min="12295" max="12300" width="12.5703125" style="476" customWidth="1"/>
    <col min="12301" max="12545" width="9.140625" style="476"/>
    <col min="12546" max="12546" width="10.5703125" style="476" customWidth="1"/>
    <col min="12547" max="12547" width="10.28515625" style="476" customWidth="1"/>
    <col min="12548" max="12548" width="51" style="476" customWidth="1"/>
    <col min="12549" max="12549" width="14.42578125" style="476" customWidth="1"/>
    <col min="12550" max="12550" width="13.28515625" style="476" customWidth="1"/>
    <col min="12551" max="12556" width="12.5703125" style="476" customWidth="1"/>
    <col min="12557" max="12801" width="9.140625" style="476"/>
    <col min="12802" max="12802" width="10.5703125" style="476" customWidth="1"/>
    <col min="12803" max="12803" width="10.28515625" style="476" customWidth="1"/>
    <col min="12804" max="12804" width="51" style="476" customWidth="1"/>
    <col min="12805" max="12805" width="14.42578125" style="476" customWidth="1"/>
    <col min="12806" max="12806" width="13.28515625" style="476" customWidth="1"/>
    <col min="12807" max="12812" width="12.5703125" style="476" customWidth="1"/>
    <col min="12813" max="13057" width="9.140625" style="476"/>
    <col min="13058" max="13058" width="10.5703125" style="476" customWidth="1"/>
    <col min="13059" max="13059" width="10.28515625" style="476" customWidth="1"/>
    <col min="13060" max="13060" width="51" style="476" customWidth="1"/>
    <col min="13061" max="13061" width="14.42578125" style="476" customWidth="1"/>
    <col min="13062" max="13062" width="13.28515625" style="476" customWidth="1"/>
    <col min="13063" max="13068" width="12.5703125" style="476" customWidth="1"/>
    <col min="13069" max="13313" width="9.140625" style="476"/>
    <col min="13314" max="13314" width="10.5703125" style="476" customWidth="1"/>
    <col min="13315" max="13315" width="10.28515625" style="476" customWidth="1"/>
    <col min="13316" max="13316" width="51" style="476" customWidth="1"/>
    <col min="13317" max="13317" width="14.42578125" style="476" customWidth="1"/>
    <col min="13318" max="13318" width="13.28515625" style="476" customWidth="1"/>
    <col min="13319" max="13324" width="12.5703125" style="476" customWidth="1"/>
    <col min="13325" max="13569" width="9.140625" style="476"/>
    <col min="13570" max="13570" width="10.5703125" style="476" customWidth="1"/>
    <col min="13571" max="13571" width="10.28515625" style="476" customWidth="1"/>
    <col min="13572" max="13572" width="51" style="476" customWidth="1"/>
    <col min="13573" max="13573" width="14.42578125" style="476" customWidth="1"/>
    <col min="13574" max="13574" width="13.28515625" style="476" customWidth="1"/>
    <col min="13575" max="13580" width="12.5703125" style="476" customWidth="1"/>
    <col min="13581" max="13825" width="9.140625" style="476"/>
    <col min="13826" max="13826" width="10.5703125" style="476" customWidth="1"/>
    <col min="13827" max="13827" width="10.28515625" style="476" customWidth="1"/>
    <col min="13828" max="13828" width="51" style="476" customWidth="1"/>
    <col min="13829" max="13829" width="14.42578125" style="476" customWidth="1"/>
    <col min="13830" max="13830" width="13.28515625" style="476" customWidth="1"/>
    <col min="13831" max="13836" width="12.5703125" style="476" customWidth="1"/>
    <col min="13837" max="14081" width="9.140625" style="476"/>
    <col min="14082" max="14082" width="10.5703125" style="476" customWidth="1"/>
    <col min="14083" max="14083" width="10.28515625" style="476" customWidth="1"/>
    <col min="14084" max="14084" width="51" style="476" customWidth="1"/>
    <col min="14085" max="14085" width="14.42578125" style="476" customWidth="1"/>
    <col min="14086" max="14086" width="13.28515625" style="476" customWidth="1"/>
    <col min="14087" max="14092" width="12.5703125" style="476" customWidth="1"/>
    <col min="14093" max="14337" width="9.140625" style="476"/>
    <col min="14338" max="14338" width="10.5703125" style="476" customWidth="1"/>
    <col min="14339" max="14339" width="10.28515625" style="476" customWidth="1"/>
    <col min="14340" max="14340" width="51" style="476" customWidth="1"/>
    <col min="14341" max="14341" width="14.42578125" style="476" customWidth="1"/>
    <col min="14342" max="14342" width="13.28515625" style="476" customWidth="1"/>
    <col min="14343" max="14348" width="12.5703125" style="476" customWidth="1"/>
    <col min="14349" max="14593" width="9.140625" style="476"/>
    <col min="14594" max="14594" width="10.5703125" style="476" customWidth="1"/>
    <col min="14595" max="14595" width="10.28515625" style="476" customWidth="1"/>
    <col min="14596" max="14596" width="51" style="476" customWidth="1"/>
    <col min="14597" max="14597" width="14.42578125" style="476" customWidth="1"/>
    <col min="14598" max="14598" width="13.28515625" style="476" customWidth="1"/>
    <col min="14599" max="14604" width="12.5703125" style="476" customWidth="1"/>
    <col min="14605" max="14849" width="9.140625" style="476"/>
    <col min="14850" max="14850" width="10.5703125" style="476" customWidth="1"/>
    <col min="14851" max="14851" width="10.28515625" style="476" customWidth="1"/>
    <col min="14852" max="14852" width="51" style="476" customWidth="1"/>
    <col min="14853" max="14853" width="14.42578125" style="476" customWidth="1"/>
    <col min="14854" max="14854" width="13.28515625" style="476" customWidth="1"/>
    <col min="14855" max="14860" width="12.5703125" style="476" customWidth="1"/>
    <col min="14861" max="15105" width="9.140625" style="476"/>
    <col min="15106" max="15106" width="10.5703125" style="476" customWidth="1"/>
    <col min="15107" max="15107" width="10.28515625" style="476" customWidth="1"/>
    <col min="15108" max="15108" width="51" style="476" customWidth="1"/>
    <col min="15109" max="15109" width="14.42578125" style="476" customWidth="1"/>
    <col min="15110" max="15110" width="13.28515625" style="476" customWidth="1"/>
    <col min="15111" max="15116" width="12.5703125" style="476" customWidth="1"/>
    <col min="15117" max="15361" width="9.140625" style="476"/>
    <col min="15362" max="15362" width="10.5703125" style="476" customWidth="1"/>
    <col min="15363" max="15363" width="10.28515625" style="476" customWidth="1"/>
    <col min="15364" max="15364" width="51" style="476" customWidth="1"/>
    <col min="15365" max="15365" width="14.42578125" style="476" customWidth="1"/>
    <col min="15366" max="15366" width="13.28515625" style="476" customWidth="1"/>
    <col min="15367" max="15372" width="12.5703125" style="476" customWidth="1"/>
    <col min="15373" max="15617" width="9.140625" style="476"/>
    <col min="15618" max="15618" width="10.5703125" style="476" customWidth="1"/>
    <col min="15619" max="15619" width="10.28515625" style="476" customWidth="1"/>
    <col min="15620" max="15620" width="51" style="476" customWidth="1"/>
    <col min="15621" max="15621" width="14.42578125" style="476" customWidth="1"/>
    <col min="15622" max="15622" width="13.28515625" style="476" customWidth="1"/>
    <col min="15623" max="15628" width="12.5703125" style="476" customWidth="1"/>
    <col min="15629" max="15873" width="9.140625" style="476"/>
    <col min="15874" max="15874" width="10.5703125" style="476" customWidth="1"/>
    <col min="15875" max="15875" width="10.28515625" style="476" customWidth="1"/>
    <col min="15876" max="15876" width="51" style="476" customWidth="1"/>
    <col min="15877" max="15877" width="14.42578125" style="476" customWidth="1"/>
    <col min="15878" max="15878" width="13.28515625" style="476" customWidth="1"/>
    <col min="15879" max="15884" width="12.5703125" style="476" customWidth="1"/>
    <col min="15885" max="16129" width="9.140625" style="476"/>
    <col min="16130" max="16130" width="10.5703125" style="476" customWidth="1"/>
    <col min="16131" max="16131" width="10.28515625" style="476" customWidth="1"/>
    <col min="16132" max="16132" width="51" style="476" customWidth="1"/>
    <col min="16133" max="16133" width="14.42578125" style="476" customWidth="1"/>
    <col min="16134" max="16134" width="13.28515625" style="476" customWidth="1"/>
    <col min="16135" max="16140" width="12.5703125" style="476" customWidth="1"/>
    <col min="16141" max="16384" width="9.140625" style="476"/>
  </cols>
  <sheetData>
    <row r="1" spans="2:14" ht="13.5" thickBot="1"/>
    <row r="2" spans="2:14" ht="55.5" customHeight="1" thickBot="1">
      <c r="B2" s="472"/>
      <c r="C2" s="473"/>
      <c r="D2" s="473"/>
      <c r="E2" s="474"/>
      <c r="F2" s="474"/>
      <c r="G2" s="474"/>
      <c r="H2" s="474"/>
      <c r="I2" s="474"/>
      <c r="J2" s="473"/>
      <c r="K2" s="473"/>
      <c r="L2" s="475"/>
    </row>
    <row r="3" spans="2:14" ht="3.75" customHeight="1" thickBot="1"/>
    <row r="4" spans="2:14" ht="18" customHeight="1" thickBot="1">
      <c r="B4" s="721" t="s">
        <v>739</v>
      </c>
      <c r="C4" s="722"/>
      <c r="D4" s="722"/>
      <c r="E4" s="722"/>
      <c r="F4" s="722"/>
      <c r="G4" s="722"/>
      <c r="H4" s="722"/>
      <c r="I4" s="722"/>
      <c r="J4" s="722"/>
      <c r="K4" s="722"/>
      <c r="L4" s="723"/>
    </row>
    <row r="5" spans="2:14" ht="18" customHeight="1">
      <c r="B5" s="724" t="str">
        <f>Orçamento!B4</f>
        <v>PREFEITURA: Prefeitura Municipal de Pouso Alegre</v>
      </c>
      <c r="C5" s="725"/>
      <c r="D5" s="726"/>
      <c r="E5" s="727" t="s">
        <v>740</v>
      </c>
      <c r="F5" s="728"/>
      <c r="G5" s="729">
        <f>Orçamento!I106</f>
        <v>5323674.879999999</v>
      </c>
      <c r="H5" s="729"/>
      <c r="I5" s="478"/>
      <c r="J5" s="730" t="str">
        <f>Orçamento!F5</f>
        <v>DATA: 10/11/2016</v>
      </c>
      <c r="K5" s="731"/>
      <c r="L5" s="732"/>
    </row>
    <row r="6" spans="2:14" ht="18" customHeight="1" thickBot="1">
      <c r="B6" s="733" t="str">
        <f>Orçamento!B5</f>
        <v>OBRA: Pavimentação e Drenagem da Via Noroeste 1º Etapa</v>
      </c>
      <c r="C6" s="734"/>
      <c r="D6" s="735"/>
      <c r="E6" s="736" t="str">
        <f>Orçamento!B6</f>
        <v>LOCAL: Av. Noroeste, Bairro Ribeirão das Mortes</v>
      </c>
      <c r="F6" s="734"/>
      <c r="G6" s="734"/>
      <c r="H6" s="734"/>
      <c r="I6" s="734"/>
      <c r="J6" s="737" t="str">
        <f>Orçamento!B8</f>
        <v>PRAZO DE EXECUÇÃO: 4 Meses</v>
      </c>
      <c r="K6" s="734"/>
      <c r="L6" s="738"/>
    </row>
    <row r="7" spans="2:14" ht="36" customHeight="1" thickBot="1">
      <c r="B7" s="479" t="s">
        <v>3</v>
      </c>
      <c r="C7" s="480" t="s">
        <v>0</v>
      </c>
      <c r="D7" s="481" t="s">
        <v>741</v>
      </c>
      <c r="E7" s="482" t="s">
        <v>742</v>
      </c>
      <c r="F7" s="482" t="s">
        <v>743</v>
      </c>
      <c r="G7" s="480" t="s">
        <v>744</v>
      </c>
      <c r="H7" s="480" t="s">
        <v>745</v>
      </c>
      <c r="I7" s="480" t="s">
        <v>746</v>
      </c>
      <c r="J7" s="480" t="s">
        <v>747</v>
      </c>
      <c r="K7" s="480" t="s">
        <v>748</v>
      </c>
      <c r="L7" s="483" t="s">
        <v>749</v>
      </c>
    </row>
    <row r="8" spans="2:14" ht="14.25" customHeight="1">
      <c r="B8" s="739">
        <v>1</v>
      </c>
      <c r="C8" s="741" t="s">
        <v>750</v>
      </c>
      <c r="D8" s="743" t="str">
        <f>VLOOKUP(B8,Orçamento!B:I,3,FALSE)</f>
        <v>CANTEIRO DE OBRAS</v>
      </c>
      <c r="E8" s="525" t="s">
        <v>751</v>
      </c>
      <c r="F8" s="535">
        <f>F9/$F$33</f>
        <v>1.8643266585054871E-2</v>
      </c>
      <c r="G8" s="535">
        <v>1</v>
      </c>
      <c r="H8" s="485"/>
      <c r="I8" s="485"/>
      <c r="J8" s="484"/>
      <c r="K8" s="485"/>
      <c r="L8" s="486"/>
      <c r="N8" s="759"/>
    </row>
    <row r="9" spans="2:14" ht="14.25" customHeight="1">
      <c r="B9" s="740"/>
      <c r="C9" s="742"/>
      <c r="D9" s="744"/>
      <c r="E9" s="526" t="s">
        <v>752</v>
      </c>
      <c r="F9" s="527">
        <f>VLOOKUP(B8,Orçamento!B:I,8,FALSE)</f>
        <v>99250.69</v>
      </c>
      <c r="G9" s="527">
        <f t="shared" ref="G9:L9" si="0">G8*$F$9</f>
        <v>99250.69</v>
      </c>
      <c r="H9" s="527">
        <f t="shared" si="0"/>
        <v>0</v>
      </c>
      <c r="I9" s="527">
        <f t="shared" si="0"/>
        <v>0</v>
      </c>
      <c r="J9" s="527">
        <f t="shared" si="0"/>
        <v>0</v>
      </c>
      <c r="K9" s="527">
        <f t="shared" si="0"/>
        <v>0</v>
      </c>
      <c r="L9" s="528">
        <f t="shared" si="0"/>
        <v>0</v>
      </c>
      <c r="N9" s="760"/>
    </row>
    <row r="10" spans="2:14" ht="14.25" customHeight="1">
      <c r="B10" s="740">
        <v>2</v>
      </c>
      <c r="C10" s="742" t="s">
        <v>759</v>
      </c>
      <c r="D10" s="745" t="str">
        <f>VLOOKUP(B10,Orçamento!B:I,3,FALSE)</f>
        <v>ADMINISTRAÇÃO LOCAL</v>
      </c>
      <c r="E10" s="526" t="s">
        <v>751</v>
      </c>
      <c r="F10" s="535">
        <f>F11/$F$33</f>
        <v>5.0062876867491952E-2</v>
      </c>
      <c r="G10" s="535">
        <f>1/4</f>
        <v>0.25</v>
      </c>
      <c r="H10" s="535">
        <f>1/4</f>
        <v>0.25</v>
      </c>
      <c r="I10" s="535">
        <f>1/4</f>
        <v>0.25</v>
      </c>
      <c r="J10" s="535">
        <f>1/4</f>
        <v>0.25</v>
      </c>
      <c r="K10" s="485"/>
      <c r="L10" s="486"/>
      <c r="N10" s="759"/>
    </row>
    <row r="11" spans="2:14" ht="14.25" customHeight="1">
      <c r="B11" s="740"/>
      <c r="C11" s="742"/>
      <c r="D11" s="745"/>
      <c r="E11" s="526" t="s">
        <v>752</v>
      </c>
      <c r="F11" s="527">
        <f>VLOOKUP(B10,Orçamento!B:I,8,FALSE)</f>
        <v>266518.48</v>
      </c>
      <c r="G11" s="527">
        <f>G10*F$11</f>
        <v>66629.62</v>
      </c>
      <c r="H11" s="527">
        <f>H10*$F$11</f>
        <v>66629.62</v>
      </c>
      <c r="I11" s="527">
        <f>I10*$F$11</f>
        <v>66629.62</v>
      </c>
      <c r="J11" s="527">
        <f>J10*$F$11</f>
        <v>66629.62</v>
      </c>
      <c r="K11" s="527">
        <f>K10*$F$11</f>
        <v>0</v>
      </c>
      <c r="L11" s="528">
        <f>L10*$F$11</f>
        <v>0</v>
      </c>
      <c r="N11" s="760"/>
    </row>
    <row r="12" spans="2:14" ht="14.25" customHeight="1">
      <c r="B12" s="740">
        <v>3</v>
      </c>
      <c r="C12" s="742" t="s">
        <v>754</v>
      </c>
      <c r="D12" s="745" t="str">
        <f>VLOOKUP(B12,Orçamento!B:I,3,FALSE)</f>
        <v>LOCAÇÃO DA OBRA</v>
      </c>
      <c r="E12" s="526" t="s">
        <v>751</v>
      </c>
      <c r="F12" s="535">
        <f>F13/$F$33</f>
        <v>1.8839548293377376E-2</v>
      </c>
      <c r="G12" s="535">
        <f>1/4</f>
        <v>0.25</v>
      </c>
      <c r="H12" s="535">
        <f>1/4</f>
        <v>0.25</v>
      </c>
      <c r="I12" s="535">
        <f>1/4</f>
        <v>0.25</v>
      </c>
      <c r="J12" s="535">
        <f>1/4</f>
        <v>0.25</v>
      </c>
      <c r="K12" s="485"/>
      <c r="L12" s="486"/>
      <c r="N12" s="759"/>
    </row>
    <row r="13" spans="2:14" ht="14.25" customHeight="1">
      <c r="B13" s="740"/>
      <c r="C13" s="742"/>
      <c r="D13" s="745"/>
      <c r="E13" s="526" t="s">
        <v>752</v>
      </c>
      <c r="F13" s="527">
        <f>VLOOKUP(B12,Orçamento!B:I,8,FALSE)</f>
        <v>100295.63</v>
      </c>
      <c r="G13" s="527">
        <f t="shared" ref="G13:L13" si="1">G12*$F$13</f>
        <v>25073.907500000001</v>
      </c>
      <c r="H13" s="527">
        <f t="shared" si="1"/>
        <v>25073.907500000001</v>
      </c>
      <c r="I13" s="527">
        <f t="shared" si="1"/>
        <v>25073.907500000001</v>
      </c>
      <c r="J13" s="527">
        <f t="shared" si="1"/>
        <v>25073.907500000001</v>
      </c>
      <c r="K13" s="527">
        <f t="shared" si="1"/>
        <v>0</v>
      </c>
      <c r="L13" s="528">
        <f t="shared" si="1"/>
        <v>0</v>
      </c>
      <c r="N13" s="760"/>
    </row>
    <row r="14" spans="2:14" ht="14.25" customHeight="1">
      <c r="B14" s="740">
        <v>4</v>
      </c>
      <c r="C14" s="742" t="s">
        <v>758</v>
      </c>
      <c r="D14" s="745" t="str">
        <f>VLOOKUP(B14,Orçamento!B:I,3,FALSE)</f>
        <v>TERRAPLENAGEM</v>
      </c>
      <c r="E14" s="526" t="s">
        <v>751</v>
      </c>
      <c r="F14" s="535">
        <f>F15/$F$33</f>
        <v>0.24349649992149783</v>
      </c>
      <c r="G14" s="535">
        <v>0.25</v>
      </c>
      <c r="H14" s="535">
        <v>0.3</v>
      </c>
      <c r="I14" s="535">
        <v>0.3</v>
      </c>
      <c r="J14" s="535">
        <v>0.15</v>
      </c>
      <c r="K14" s="485"/>
      <c r="L14" s="486"/>
      <c r="N14" s="759"/>
    </row>
    <row r="15" spans="2:14" ht="14.25" customHeight="1">
      <c r="B15" s="740"/>
      <c r="C15" s="742"/>
      <c r="D15" s="745"/>
      <c r="E15" s="526" t="s">
        <v>752</v>
      </c>
      <c r="F15" s="527">
        <f>VLOOKUP(B14,Orçamento!B:I,8,FALSE)</f>
        <v>1296296.2</v>
      </c>
      <c r="G15" s="527">
        <f t="shared" ref="G15:L15" si="2">G14*$F$15</f>
        <v>324074.05</v>
      </c>
      <c r="H15" s="527">
        <f t="shared" si="2"/>
        <v>388888.86</v>
      </c>
      <c r="I15" s="527">
        <f t="shared" si="2"/>
        <v>388888.86</v>
      </c>
      <c r="J15" s="527">
        <f t="shared" si="2"/>
        <v>194444.43</v>
      </c>
      <c r="K15" s="527">
        <f t="shared" si="2"/>
        <v>0</v>
      </c>
      <c r="L15" s="528">
        <f t="shared" si="2"/>
        <v>0</v>
      </c>
      <c r="N15" s="760"/>
    </row>
    <row r="16" spans="2:14" ht="14.25" customHeight="1">
      <c r="B16" s="740">
        <v>5</v>
      </c>
      <c r="C16" s="742" t="s">
        <v>754</v>
      </c>
      <c r="D16" s="745" t="str">
        <f>VLOOKUP(B16,Orçamento!B:I,3,FALSE)</f>
        <v>DRENAGEM</v>
      </c>
      <c r="E16" s="526" t="s">
        <v>751</v>
      </c>
      <c r="F16" s="535">
        <f>F17/$F$33</f>
        <v>0.10589867388746324</v>
      </c>
      <c r="G16" s="535">
        <v>0.25</v>
      </c>
      <c r="H16" s="535">
        <v>0.3</v>
      </c>
      <c r="I16" s="535">
        <v>0.3</v>
      </c>
      <c r="J16" s="535">
        <v>0.15</v>
      </c>
      <c r="K16" s="485"/>
      <c r="L16" s="486"/>
      <c r="N16" s="759"/>
    </row>
    <row r="17" spans="2:14" ht="14.25" customHeight="1">
      <c r="B17" s="740"/>
      <c r="C17" s="742"/>
      <c r="D17" s="745"/>
      <c r="E17" s="526" t="s">
        <v>752</v>
      </c>
      <c r="F17" s="527">
        <f>VLOOKUP(B16,Orçamento!B:I,8,FALSE)</f>
        <v>563770.11</v>
      </c>
      <c r="G17" s="527">
        <f>G16*$F$17</f>
        <v>140942.5275</v>
      </c>
      <c r="H17" s="527">
        <f>H16*$F$17</f>
        <v>169131.033</v>
      </c>
      <c r="I17" s="527">
        <f>I16*$F$17</f>
        <v>169131.033</v>
      </c>
      <c r="J17" s="527">
        <f>J16*$F$17</f>
        <v>84565.516499999998</v>
      </c>
      <c r="K17" s="527">
        <f>K16*$F$15</f>
        <v>0</v>
      </c>
      <c r="L17" s="528">
        <f>L16*$F$15</f>
        <v>0</v>
      </c>
      <c r="N17" s="760"/>
    </row>
    <row r="18" spans="2:14" ht="14.25" customHeight="1">
      <c r="B18" s="740">
        <v>6</v>
      </c>
      <c r="C18" s="742" t="s">
        <v>753</v>
      </c>
      <c r="D18" s="745" t="str">
        <f>VLOOKUP(B18,Orçamento!B:I,3,FALSE)</f>
        <v>PAVIMENTAÇÃO</v>
      </c>
      <c r="E18" s="526" t="s">
        <v>751</v>
      </c>
      <c r="F18" s="535">
        <f>F19/$F$33</f>
        <v>0.34213933815582676</v>
      </c>
      <c r="G18" s="535">
        <v>0.25</v>
      </c>
      <c r="H18" s="535">
        <v>0.3</v>
      </c>
      <c r="I18" s="535">
        <v>0.3</v>
      </c>
      <c r="J18" s="535">
        <v>0.15</v>
      </c>
      <c r="K18" s="485"/>
      <c r="L18" s="486"/>
      <c r="N18" s="759"/>
    </row>
    <row r="19" spans="2:14" ht="14.25" customHeight="1">
      <c r="B19" s="740"/>
      <c r="C19" s="742"/>
      <c r="D19" s="745"/>
      <c r="E19" s="526" t="s">
        <v>752</v>
      </c>
      <c r="F19" s="527">
        <f>VLOOKUP(B18,Orçamento!B:I,8,FALSE)</f>
        <v>1821438.6000000003</v>
      </c>
      <c r="G19" s="527">
        <f t="shared" ref="G19:L19" si="3">G18*$F$19</f>
        <v>455359.65000000008</v>
      </c>
      <c r="H19" s="527">
        <f t="shared" si="3"/>
        <v>546431.58000000007</v>
      </c>
      <c r="I19" s="527">
        <f t="shared" si="3"/>
        <v>546431.58000000007</v>
      </c>
      <c r="J19" s="527">
        <f t="shared" si="3"/>
        <v>273215.79000000004</v>
      </c>
      <c r="K19" s="527">
        <f t="shared" si="3"/>
        <v>0</v>
      </c>
      <c r="L19" s="528">
        <f t="shared" si="3"/>
        <v>0</v>
      </c>
      <c r="N19" s="760"/>
    </row>
    <row r="20" spans="2:14" ht="14.25" customHeight="1">
      <c r="B20" s="740">
        <v>7</v>
      </c>
      <c r="C20" s="742" t="s">
        <v>755</v>
      </c>
      <c r="D20" s="745" t="str">
        <f>VLOOKUP(B20,Orçamento!B:I,3,FALSE)</f>
        <v>OBRAS COMPLEMENTARES</v>
      </c>
      <c r="E20" s="526" t="s">
        <v>751</v>
      </c>
      <c r="F20" s="535">
        <f>F21/$F$33</f>
        <v>0.15590367156305382</v>
      </c>
      <c r="G20" s="535"/>
      <c r="H20" s="535">
        <v>0.5</v>
      </c>
      <c r="I20" s="535">
        <v>0.5</v>
      </c>
      <c r="J20" s="535"/>
      <c r="K20" s="485"/>
      <c r="L20" s="486"/>
      <c r="M20" s="487"/>
      <c r="N20" s="759"/>
    </row>
    <row r="21" spans="2:14" ht="14.25" customHeight="1">
      <c r="B21" s="740"/>
      <c r="C21" s="742"/>
      <c r="D21" s="745"/>
      <c r="E21" s="526" t="s">
        <v>752</v>
      </c>
      <c r="F21" s="527">
        <f>VLOOKUP(B20,Orçamento!B:I,8,FALSE)</f>
        <v>829980.46</v>
      </c>
      <c r="G21" s="527">
        <f t="shared" ref="G21:L21" si="4">G20*$F$21</f>
        <v>0</v>
      </c>
      <c r="H21" s="527">
        <f t="shared" si="4"/>
        <v>414990.23</v>
      </c>
      <c r="I21" s="527">
        <f t="shared" si="4"/>
        <v>414990.23</v>
      </c>
      <c r="J21" s="527">
        <f t="shared" si="4"/>
        <v>0</v>
      </c>
      <c r="K21" s="527">
        <f t="shared" si="4"/>
        <v>0</v>
      </c>
      <c r="L21" s="528">
        <f t="shared" si="4"/>
        <v>0</v>
      </c>
      <c r="N21" s="760"/>
    </row>
    <row r="22" spans="2:14" ht="14.25" customHeight="1">
      <c r="B22" s="740">
        <v>8</v>
      </c>
      <c r="C22" s="742" t="s">
        <v>755</v>
      </c>
      <c r="D22" s="745" t="str">
        <f>VLOOKUP(B22,Orçamento!B:I,3,FALSE)</f>
        <v>URBANIZAÇÃO E PAISAGISMO</v>
      </c>
      <c r="E22" s="526" t="s">
        <v>751</v>
      </c>
      <c r="F22" s="535">
        <f>F23/$F$33</f>
        <v>6.2749684668948078E-2</v>
      </c>
      <c r="G22" s="535"/>
      <c r="H22" s="535"/>
      <c r="I22" s="535"/>
      <c r="J22" s="535">
        <v>1</v>
      </c>
      <c r="K22" s="485"/>
      <c r="L22" s="486"/>
      <c r="N22" s="759"/>
    </row>
    <row r="23" spans="2:14" ht="14.25" customHeight="1">
      <c r="B23" s="740"/>
      <c r="C23" s="742"/>
      <c r="D23" s="745"/>
      <c r="E23" s="526" t="s">
        <v>752</v>
      </c>
      <c r="F23" s="527">
        <f>VLOOKUP(B22,Orçamento!B:I,8,FALSE)</f>
        <v>334058.92</v>
      </c>
      <c r="G23" s="527">
        <f t="shared" ref="G23:L23" si="5">G22*$F$23</f>
        <v>0</v>
      </c>
      <c r="H23" s="527">
        <f t="shared" si="5"/>
        <v>0</v>
      </c>
      <c r="I23" s="527">
        <f t="shared" si="5"/>
        <v>0</v>
      </c>
      <c r="J23" s="527">
        <f t="shared" si="5"/>
        <v>334058.92</v>
      </c>
      <c r="K23" s="527">
        <f t="shared" si="5"/>
        <v>0</v>
      </c>
      <c r="L23" s="528">
        <f t="shared" si="5"/>
        <v>0</v>
      </c>
      <c r="N23" s="760"/>
    </row>
    <row r="24" spans="2:14" ht="14.25" customHeight="1">
      <c r="B24" s="740">
        <v>9</v>
      </c>
      <c r="C24" s="742" t="s">
        <v>760</v>
      </c>
      <c r="D24" s="745" t="str">
        <f>VLOOKUP(B24,Orçamento!B:I,3,FALSE)</f>
        <v>SINALIZAÇÃO</v>
      </c>
      <c r="E24" s="526" t="s">
        <v>751</v>
      </c>
      <c r="F24" s="535">
        <f>F25/$F$33</f>
        <v>2.2664400572861426E-3</v>
      </c>
      <c r="G24" s="535"/>
      <c r="H24" s="535"/>
      <c r="I24" s="535"/>
      <c r="J24" s="535">
        <v>1</v>
      </c>
      <c r="K24" s="485"/>
      <c r="L24" s="486"/>
      <c r="N24" s="759"/>
    </row>
    <row r="25" spans="2:14" ht="14.25" customHeight="1">
      <c r="B25" s="740"/>
      <c r="C25" s="742"/>
      <c r="D25" s="745"/>
      <c r="E25" s="526" t="s">
        <v>752</v>
      </c>
      <c r="F25" s="527">
        <f>VLOOKUP(B24,Orçamento!B:I,8,FALSE)</f>
        <v>12065.789999999999</v>
      </c>
      <c r="G25" s="527">
        <f t="shared" ref="G25:L25" si="6">G24*$F$25</f>
        <v>0</v>
      </c>
      <c r="H25" s="527">
        <f t="shared" si="6"/>
        <v>0</v>
      </c>
      <c r="I25" s="527">
        <f t="shared" si="6"/>
        <v>0</v>
      </c>
      <c r="J25" s="527">
        <f t="shared" si="6"/>
        <v>12065.789999999999</v>
      </c>
      <c r="K25" s="527">
        <f t="shared" si="6"/>
        <v>0</v>
      </c>
      <c r="L25" s="528">
        <f t="shared" si="6"/>
        <v>0</v>
      </c>
      <c r="N25" s="760"/>
    </row>
    <row r="26" spans="2:14" ht="14.25" customHeight="1">
      <c r="B26" s="746"/>
      <c r="C26" s="747"/>
      <c r="D26" s="747"/>
      <c r="E26" s="526" t="s">
        <v>751</v>
      </c>
      <c r="F26" s="485">
        <f>F27/$F$33</f>
        <v>0</v>
      </c>
      <c r="G26" s="485"/>
      <c r="H26" s="485"/>
      <c r="I26" s="485"/>
      <c r="J26" s="484"/>
      <c r="K26" s="485"/>
      <c r="L26" s="486"/>
      <c r="N26" s="524"/>
    </row>
    <row r="27" spans="2:14" ht="14.25" customHeight="1">
      <c r="B27" s="746"/>
      <c r="C27" s="747"/>
      <c r="D27" s="747"/>
      <c r="E27" s="526" t="s">
        <v>752</v>
      </c>
      <c r="F27" s="527"/>
      <c r="G27" s="527">
        <f t="shared" ref="G27:L27" si="7">G26*$F$27</f>
        <v>0</v>
      </c>
      <c r="H27" s="527">
        <f t="shared" si="7"/>
        <v>0</v>
      </c>
      <c r="I27" s="527">
        <f t="shared" si="7"/>
        <v>0</v>
      </c>
      <c r="J27" s="527">
        <f t="shared" si="7"/>
        <v>0</v>
      </c>
      <c r="K27" s="527">
        <f t="shared" si="7"/>
        <v>0</v>
      </c>
      <c r="L27" s="528">
        <f t="shared" si="7"/>
        <v>0</v>
      </c>
    </row>
    <row r="28" spans="2:14" ht="14.25" customHeight="1">
      <c r="B28" s="748"/>
      <c r="C28" s="749"/>
      <c r="D28" s="749"/>
      <c r="E28" s="526" t="s">
        <v>751</v>
      </c>
      <c r="F28" s="485">
        <f>F29/$F$33</f>
        <v>0</v>
      </c>
      <c r="G28" s="485"/>
      <c r="H28" s="485"/>
      <c r="I28" s="485"/>
      <c r="J28" s="484"/>
      <c r="K28" s="485"/>
      <c r="L28" s="486"/>
    </row>
    <row r="29" spans="2:14" ht="14.25" customHeight="1">
      <c r="B29" s="748"/>
      <c r="C29" s="749"/>
      <c r="D29" s="749"/>
      <c r="E29" s="526" t="s">
        <v>752</v>
      </c>
      <c r="F29" s="527"/>
      <c r="G29" s="527">
        <f t="shared" ref="G29:L29" si="8">G28*$F$29</f>
        <v>0</v>
      </c>
      <c r="H29" s="527">
        <f t="shared" si="8"/>
        <v>0</v>
      </c>
      <c r="I29" s="527">
        <f t="shared" si="8"/>
        <v>0</v>
      </c>
      <c r="J29" s="527">
        <f t="shared" si="8"/>
        <v>0</v>
      </c>
      <c r="K29" s="527">
        <f t="shared" si="8"/>
        <v>0</v>
      </c>
      <c r="L29" s="528">
        <f t="shared" si="8"/>
        <v>0</v>
      </c>
    </row>
    <row r="30" spans="2:14" ht="14.25" customHeight="1">
      <c r="B30" s="746"/>
      <c r="C30" s="747"/>
      <c r="D30" s="747"/>
      <c r="E30" s="526" t="s">
        <v>751</v>
      </c>
      <c r="F30" s="485">
        <f>F31/$F$33</f>
        <v>0</v>
      </c>
      <c r="G30" s="485"/>
      <c r="H30" s="485"/>
      <c r="I30" s="485"/>
      <c r="J30" s="484"/>
      <c r="K30" s="485"/>
      <c r="L30" s="486"/>
    </row>
    <row r="31" spans="2:14" ht="14.25" customHeight="1">
      <c r="B31" s="750"/>
      <c r="C31" s="751"/>
      <c r="D31" s="751"/>
      <c r="E31" s="529" t="s">
        <v>752</v>
      </c>
      <c r="F31" s="527"/>
      <c r="G31" s="527">
        <f t="shared" ref="G31:L31" si="9">G30*$F$31</f>
        <v>0</v>
      </c>
      <c r="H31" s="527">
        <f t="shared" si="9"/>
        <v>0</v>
      </c>
      <c r="I31" s="527">
        <f t="shared" si="9"/>
        <v>0</v>
      </c>
      <c r="J31" s="527">
        <f t="shared" si="9"/>
        <v>0</v>
      </c>
      <c r="K31" s="527">
        <f t="shared" si="9"/>
        <v>0</v>
      </c>
      <c r="L31" s="550">
        <f t="shared" si="9"/>
        <v>0</v>
      </c>
    </row>
    <row r="32" spans="2:14" ht="14.25" customHeight="1">
      <c r="B32" s="752" t="s">
        <v>1</v>
      </c>
      <c r="C32" s="753"/>
      <c r="D32" s="754"/>
      <c r="E32" s="530" t="s">
        <v>751</v>
      </c>
      <c r="F32" s="531">
        <f>F8+F10+F12++F14+F18+F20+F22+F24+F26+F28+F30</f>
        <v>0.8941013261125369</v>
      </c>
      <c r="G32" s="531">
        <f t="shared" ref="G32:L32" si="10">G33/$F$33</f>
        <v>0.20875250086646915</v>
      </c>
      <c r="H32" s="531">
        <f t="shared" si="10"/>
        <v>0.3026377956611806</v>
      </c>
      <c r="I32" s="531">
        <f t="shared" si="10"/>
        <v>0.3026377956611806</v>
      </c>
      <c r="J32" s="531">
        <f t="shared" si="10"/>
        <v>0.18597190781116976</v>
      </c>
      <c r="K32" s="531">
        <f t="shared" si="10"/>
        <v>0</v>
      </c>
      <c r="L32" s="551">
        <f t="shared" si="10"/>
        <v>0</v>
      </c>
      <c r="M32" s="487"/>
    </row>
    <row r="33" spans="2:14" ht="13.5" customHeight="1" thickBot="1">
      <c r="B33" s="755"/>
      <c r="C33" s="756"/>
      <c r="D33" s="757"/>
      <c r="E33" s="532" t="s">
        <v>752</v>
      </c>
      <c r="F33" s="533">
        <f>F9+F11+F13+F15+F17+F19+F21+F23+F25+F27+F29+F31</f>
        <v>5323674.88</v>
      </c>
      <c r="G33" s="533">
        <f>G9+G11+G13+G15+G17+G19+G21+G23+G25+G27+G29+G31</f>
        <v>1111330.4450000001</v>
      </c>
      <c r="H33" s="533">
        <f>H9+H11+H13+H15+H17+H19+H21+H23+H25+H27+H29+H31</f>
        <v>1611145.2305000001</v>
      </c>
      <c r="I33" s="533">
        <f>I9+I11+I13+I15+I17+I19+I21+I23+I25+I27+I29+I31</f>
        <v>1611145.2305000001</v>
      </c>
      <c r="J33" s="533">
        <f>J9+J11+J13+J15+J17+J19+J21+J23+J25+J27+J29+J31</f>
        <v>990053.97400000016</v>
      </c>
      <c r="K33" s="533">
        <f t="shared" ref="K33:L33" si="11">K9+K11+K13+K15+K19+K21+K23+K25+K27+K29+K31</f>
        <v>0</v>
      </c>
      <c r="L33" s="534">
        <f t="shared" si="11"/>
        <v>0</v>
      </c>
      <c r="M33" s="488"/>
    </row>
    <row r="34" spans="2:14" ht="3.75" customHeight="1" thickBot="1">
      <c r="B34" s="489"/>
      <c r="C34" s="489"/>
      <c r="D34" s="489"/>
      <c r="E34" s="490"/>
      <c r="F34" s="490"/>
      <c r="G34" s="489"/>
      <c r="H34" s="489"/>
      <c r="I34" s="489"/>
      <c r="J34" s="489"/>
      <c r="K34" s="489"/>
      <c r="L34" s="489"/>
    </row>
    <row r="35" spans="2:14" ht="14.25" customHeight="1">
      <c r="B35" s="491"/>
      <c r="C35" s="492"/>
      <c r="D35" s="492"/>
      <c r="E35" s="492"/>
      <c r="F35" s="549"/>
      <c r="G35" s="492"/>
      <c r="H35" s="493"/>
      <c r="I35" s="494"/>
      <c r="J35" s="495"/>
      <c r="K35" s="495"/>
      <c r="L35" s="496"/>
      <c r="N35" s="497" t="s">
        <v>756</v>
      </c>
    </row>
    <row r="36" spans="2:14" ht="14.25" customHeight="1">
      <c r="B36" s="498"/>
      <c r="C36" s="499"/>
      <c r="D36" s="499"/>
      <c r="E36" s="500"/>
      <c r="F36" s="764" t="str">
        <f>Orçamento!F108</f>
        <v>20318/D-MG</v>
      </c>
      <c r="G36" s="764"/>
      <c r="H36" s="501"/>
      <c r="I36" s="502" t="s">
        <v>757</v>
      </c>
      <c r="J36" s="503"/>
      <c r="K36" s="503"/>
      <c r="L36" s="504"/>
    </row>
    <row r="37" spans="2:14" ht="14.25" customHeight="1">
      <c r="B37" s="505"/>
      <c r="C37" s="758" t="str">
        <f>Orçamento!C109</f>
        <v>WELLINGTON PINHEIRO SERRA</v>
      </c>
      <c r="D37" s="758"/>
      <c r="E37" s="506"/>
      <c r="F37" s="763" t="s">
        <v>486</v>
      </c>
      <c r="G37" s="763"/>
      <c r="H37" s="507"/>
      <c r="I37" s="508"/>
      <c r="J37" s="503"/>
      <c r="K37" s="503"/>
      <c r="L37" s="509"/>
    </row>
    <row r="38" spans="2:14" ht="15" customHeight="1">
      <c r="B38" s="510"/>
      <c r="C38" s="511"/>
      <c r="D38" s="511"/>
      <c r="E38" s="506"/>
      <c r="F38" s="506"/>
      <c r="G38" s="503"/>
      <c r="H38" s="512"/>
      <c r="I38" s="508"/>
      <c r="J38" s="503"/>
      <c r="K38" s="503"/>
      <c r="L38" s="509"/>
    </row>
    <row r="39" spans="2:14" ht="13.5" customHeight="1">
      <c r="B39" s="513"/>
      <c r="C39" s="761"/>
      <c r="D39" s="761"/>
      <c r="E39" s="514"/>
      <c r="F39" s="514"/>
      <c r="G39" s="515"/>
      <c r="H39" s="512"/>
      <c r="I39" s="508"/>
      <c r="J39" s="503"/>
      <c r="K39" s="503"/>
      <c r="L39" s="509"/>
    </row>
    <row r="40" spans="2:14" ht="14.25" customHeight="1" thickBot="1">
      <c r="B40" s="516"/>
      <c r="C40" s="762" t="str">
        <f>Orçamento!C114</f>
        <v>AGNALDO PERUGINI</v>
      </c>
      <c r="D40" s="762"/>
      <c r="E40" s="517"/>
      <c r="F40" s="517"/>
      <c r="G40" s="518"/>
      <c r="H40" s="519"/>
      <c r="I40" s="520"/>
      <c r="J40" s="518"/>
      <c r="K40" s="518"/>
      <c r="L40" s="521"/>
    </row>
    <row r="41" spans="2:14" ht="11.25" customHeight="1"/>
    <row r="42" spans="2:14" ht="12" customHeight="1"/>
    <row r="43" spans="2:14" ht="14.1" customHeight="1"/>
  </sheetData>
  <mergeCells count="59">
    <mergeCell ref="N24:N25"/>
    <mergeCell ref="C39:D39"/>
    <mergeCell ref="C40:D40"/>
    <mergeCell ref="N8:N9"/>
    <mergeCell ref="N10:N11"/>
    <mergeCell ref="N12:N13"/>
    <mergeCell ref="N14:N15"/>
    <mergeCell ref="N16:N17"/>
    <mergeCell ref="N18:N19"/>
    <mergeCell ref="N20:N21"/>
    <mergeCell ref="N22:N23"/>
    <mergeCell ref="F37:G37"/>
    <mergeCell ref="F36:G36"/>
    <mergeCell ref="B30:B31"/>
    <mergeCell ref="C30:C31"/>
    <mergeCell ref="D30:D31"/>
    <mergeCell ref="B32:D33"/>
    <mergeCell ref="C37:D37"/>
    <mergeCell ref="B26:B27"/>
    <mergeCell ref="C26:C27"/>
    <mergeCell ref="D26:D27"/>
    <mergeCell ref="B28:B29"/>
    <mergeCell ref="C28:C29"/>
    <mergeCell ref="D28:D29"/>
    <mergeCell ref="B22:B23"/>
    <mergeCell ref="C22:C23"/>
    <mergeCell ref="D22:D23"/>
    <mergeCell ref="B24:B25"/>
    <mergeCell ref="C24:C25"/>
    <mergeCell ref="D24:D25"/>
    <mergeCell ref="B18:B19"/>
    <mergeCell ref="C18:C19"/>
    <mergeCell ref="D18:D19"/>
    <mergeCell ref="B20:B21"/>
    <mergeCell ref="C20:C21"/>
    <mergeCell ref="D20:D21"/>
    <mergeCell ref="B14:B15"/>
    <mergeCell ref="C14:C15"/>
    <mergeCell ref="D14:D15"/>
    <mergeCell ref="B16:B17"/>
    <mergeCell ref="C16:C17"/>
    <mergeCell ref="D16:D17"/>
    <mergeCell ref="B10:B11"/>
    <mergeCell ref="C10:C11"/>
    <mergeCell ref="D10:D11"/>
    <mergeCell ref="B12:B13"/>
    <mergeCell ref="C12:C13"/>
    <mergeCell ref="D12:D13"/>
    <mergeCell ref="B6:D6"/>
    <mergeCell ref="E6:I6"/>
    <mergeCell ref="J6:L6"/>
    <mergeCell ref="B8:B9"/>
    <mergeCell ref="C8:C9"/>
    <mergeCell ref="D8:D9"/>
    <mergeCell ref="B4:L4"/>
    <mergeCell ref="B5:D5"/>
    <mergeCell ref="E5:F5"/>
    <mergeCell ref="G5:H5"/>
    <mergeCell ref="J5:L5"/>
  </mergeCells>
  <pageMargins left="0.39370078740157483" right="0.39370078740157483" top="0.6" bottom="0.19685039370078741" header="0.18" footer="0"/>
  <pageSetup paperSize="9" scale="7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I65"/>
  <sheetViews>
    <sheetView showGridLines="0" view="pageBreakPreview" zoomScale="85" zoomScaleSheetLayoutView="85" workbookViewId="0">
      <selection activeCell="C63" sqref="C63:I63"/>
    </sheetView>
  </sheetViews>
  <sheetFormatPr defaultRowHeight="24.95" customHeight="1"/>
  <cols>
    <col min="1" max="1" width="2.5703125" style="431" customWidth="1"/>
    <col min="2" max="2" width="1.7109375" style="431" customWidth="1"/>
    <col min="3" max="3" width="16.7109375" style="431" customWidth="1"/>
    <col min="4" max="4" width="84.5703125" style="431" customWidth="1"/>
    <col min="5" max="5" width="15.5703125" style="432" customWidth="1"/>
    <col min="6" max="6" width="16.28515625" style="432" customWidth="1"/>
    <col min="7" max="7" width="17.140625" style="432" customWidth="1"/>
    <col min="8" max="8" width="16.28515625" style="433" customWidth="1"/>
    <col min="9" max="9" width="16.28515625" style="432" customWidth="1"/>
    <col min="10" max="10" width="2" style="431" customWidth="1"/>
    <col min="11" max="11" width="11" style="431" bestFit="1" customWidth="1"/>
    <col min="12" max="256" width="9.140625" style="431"/>
    <col min="257" max="257" width="2.5703125" style="431" customWidth="1"/>
    <col min="258" max="258" width="1.7109375" style="431" customWidth="1"/>
    <col min="259" max="259" width="16.7109375" style="431" customWidth="1"/>
    <col min="260" max="260" width="84.5703125" style="431" customWidth="1"/>
    <col min="261" max="261" width="15.5703125" style="431" customWidth="1"/>
    <col min="262" max="265" width="16.28515625" style="431" customWidth="1"/>
    <col min="266" max="266" width="2" style="431" customWidth="1"/>
    <col min="267" max="267" width="11" style="431" bestFit="1" customWidth="1"/>
    <col min="268" max="512" width="9.140625" style="431"/>
    <col min="513" max="513" width="2.5703125" style="431" customWidth="1"/>
    <col min="514" max="514" width="1.7109375" style="431" customWidth="1"/>
    <col min="515" max="515" width="16.7109375" style="431" customWidth="1"/>
    <col min="516" max="516" width="84.5703125" style="431" customWidth="1"/>
    <col min="517" max="517" width="15.5703125" style="431" customWidth="1"/>
    <col min="518" max="521" width="16.28515625" style="431" customWidth="1"/>
    <col min="522" max="522" width="2" style="431" customWidth="1"/>
    <col min="523" max="523" width="11" style="431" bestFit="1" customWidth="1"/>
    <col min="524" max="768" width="9.140625" style="431"/>
    <col min="769" max="769" width="2.5703125" style="431" customWidth="1"/>
    <col min="770" max="770" width="1.7109375" style="431" customWidth="1"/>
    <col min="771" max="771" width="16.7109375" style="431" customWidth="1"/>
    <col min="772" max="772" width="84.5703125" style="431" customWidth="1"/>
    <col min="773" max="773" width="15.5703125" style="431" customWidth="1"/>
    <col min="774" max="777" width="16.28515625" style="431" customWidth="1"/>
    <col min="778" max="778" width="2" style="431" customWidth="1"/>
    <col min="779" max="779" width="11" style="431" bestFit="1" customWidth="1"/>
    <col min="780" max="1024" width="9.140625" style="431"/>
    <col min="1025" max="1025" width="2.5703125" style="431" customWidth="1"/>
    <col min="1026" max="1026" width="1.7109375" style="431" customWidth="1"/>
    <col min="1027" max="1027" width="16.7109375" style="431" customWidth="1"/>
    <col min="1028" max="1028" width="84.5703125" style="431" customWidth="1"/>
    <col min="1029" max="1029" width="15.5703125" style="431" customWidth="1"/>
    <col min="1030" max="1033" width="16.28515625" style="431" customWidth="1"/>
    <col min="1034" max="1034" width="2" style="431" customWidth="1"/>
    <col min="1035" max="1035" width="11" style="431" bestFit="1" customWidth="1"/>
    <col min="1036" max="1280" width="9.140625" style="431"/>
    <col min="1281" max="1281" width="2.5703125" style="431" customWidth="1"/>
    <col min="1282" max="1282" width="1.7109375" style="431" customWidth="1"/>
    <col min="1283" max="1283" width="16.7109375" style="431" customWidth="1"/>
    <col min="1284" max="1284" width="84.5703125" style="431" customWidth="1"/>
    <col min="1285" max="1285" width="15.5703125" style="431" customWidth="1"/>
    <col min="1286" max="1289" width="16.28515625" style="431" customWidth="1"/>
    <col min="1290" max="1290" width="2" style="431" customWidth="1"/>
    <col min="1291" max="1291" width="11" style="431" bestFit="1" customWidth="1"/>
    <col min="1292" max="1536" width="9.140625" style="431"/>
    <col min="1537" max="1537" width="2.5703125" style="431" customWidth="1"/>
    <col min="1538" max="1538" width="1.7109375" style="431" customWidth="1"/>
    <col min="1539" max="1539" width="16.7109375" style="431" customWidth="1"/>
    <col min="1540" max="1540" width="84.5703125" style="431" customWidth="1"/>
    <col min="1541" max="1541" width="15.5703125" style="431" customWidth="1"/>
    <col min="1542" max="1545" width="16.28515625" style="431" customWidth="1"/>
    <col min="1546" max="1546" width="2" style="431" customWidth="1"/>
    <col min="1547" max="1547" width="11" style="431" bestFit="1" customWidth="1"/>
    <col min="1548" max="1792" width="9.140625" style="431"/>
    <col min="1793" max="1793" width="2.5703125" style="431" customWidth="1"/>
    <col min="1794" max="1794" width="1.7109375" style="431" customWidth="1"/>
    <col min="1795" max="1795" width="16.7109375" style="431" customWidth="1"/>
    <col min="1796" max="1796" width="84.5703125" style="431" customWidth="1"/>
    <col min="1797" max="1797" width="15.5703125" style="431" customWidth="1"/>
    <col min="1798" max="1801" width="16.28515625" style="431" customWidth="1"/>
    <col min="1802" max="1802" width="2" style="431" customWidth="1"/>
    <col min="1803" max="1803" width="11" style="431" bestFit="1" customWidth="1"/>
    <col min="1804" max="2048" width="9.140625" style="431"/>
    <col min="2049" max="2049" width="2.5703125" style="431" customWidth="1"/>
    <col min="2050" max="2050" width="1.7109375" style="431" customWidth="1"/>
    <col min="2051" max="2051" width="16.7109375" style="431" customWidth="1"/>
    <col min="2052" max="2052" width="84.5703125" style="431" customWidth="1"/>
    <col min="2053" max="2053" width="15.5703125" style="431" customWidth="1"/>
    <col min="2054" max="2057" width="16.28515625" style="431" customWidth="1"/>
    <col min="2058" max="2058" width="2" style="431" customWidth="1"/>
    <col min="2059" max="2059" width="11" style="431" bestFit="1" customWidth="1"/>
    <col min="2060" max="2304" width="9.140625" style="431"/>
    <col min="2305" max="2305" width="2.5703125" style="431" customWidth="1"/>
    <col min="2306" max="2306" width="1.7109375" style="431" customWidth="1"/>
    <col min="2307" max="2307" width="16.7109375" style="431" customWidth="1"/>
    <col min="2308" max="2308" width="84.5703125" style="431" customWidth="1"/>
    <col min="2309" max="2309" width="15.5703125" style="431" customWidth="1"/>
    <col min="2310" max="2313" width="16.28515625" style="431" customWidth="1"/>
    <col min="2314" max="2314" width="2" style="431" customWidth="1"/>
    <col min="2315" max="2315" width="11" style="431" bestFit="1" customWidth="1"/>
    <col min="2316" max="2560" width="9.140625" style="431"/>
    <col min="2561" max="2561" width="2.5703125" style="431" customWidth="1"/>
    <col min="2562" max="2562" width="1.7109375" style="431" customWidth="1"/>
    <col min="2563" max="2563" width="16.7109375" style="431" customWidth="1"/>
    <col min="2564" max="2564" width="84.5703125" style="431" customWidth="1"/>
    <col min="2565" max="2565" width="15.5703125" style="431" customWidth="1"/>
    <col min="2566" max="2569" width="16.28515625" style="431" customWidth="1"/>
    <col min="2570" max="2570" width="2" style="431" customWidth="1"/>
    <col min="2571" max="2571" width="11" style="431" bestFit="1" customWidth="1"/>
    <col min="2572" max="2816" width="9.140625" style="431"/>
    <col min="2817" max="2817" width="2.5703125" style="431" customWidth="1"/>
    <col min="2818" max="2818" width="1.7109375" style="431" customWidth="1"/>
    <col min="2819" max="2819" width="16.7109375" style="431" customWidth="1"/>
    <col min="2820" max="2820" width="84.5703125" style="431" customWidth="1"/>
    <col min="2821" max="2821" width="15.5703125" style="431" customWidth="1"/>
    <col min="2822" max="2825" width="16.28515625" style="431" customWidth="1"/>
    <col min="2826" max="2826" width="2" style="431" customWidth="1"/>
    <col min="2827" max="2827" width="11" style="431" bestFit="1" customWidth="1"/>
    <col min="2828" max="3072" width="9.140625" style="431"/>
    <col min="3073" max="3073" width="2.5703125" style="431" customWidth="1"/>
    <col min="3074" max="3074" width="1.7109375" style="431" customWidth="1"/>
    <col min="3075" max="3075" width="16.7109375" style="431" customWidth="1"/>
    <col min="3076" max="3076" width="84.5703125" style="431" customWidth="1"/>
    <col min="3077" max="3077" width="15.5703125" style="431" customWidth="1"/>
    <col min="3078" max="3081" width="16.28515625" style="431" customWidth="1"/>
    <col min="3082" max="3082" width="2" style="431" customWidth="1"/>
    <col min="3083" max="3083" width="11" style="431" bestFit="1" customWidth="1"/>
    <col min="3084" max="3328" width="9.140625" style="431"/>
    <col min="3329" max="3329" width="2.5703125" style="431" customWidth="1"/>
    <col min="3330" max="3330" width="1.7109375" style="431" customWidth="1"/>
    <col min="3331" max="3331" width="16.7109375" style="431" customWidth="1"/>
    <col min="3332" max="3332" width="84.5703125" style="431" customWidth="1"/>
    <col min="3333" max="3333" width="15.5703125" style="431" customWidth="1"/>
    <col min="3334" max="3337" width="16.28515625" style="431" customWidth="1"/>
    <col min="3338" max="3338" width="2" style="431" customWidth="1"/>
    <col min="3339" max="3339" width="11" style="431" bestFit="1" customWidth="1"/>
    <col min="3340" max="3584" width="9.140625" style="431"/>
    <col min="3585" max="3585" width="2.5703125" style="431" customWidth="1"/>
    <col min="3586" max="3586" width="1.7109375" style="431" customWidth="1"/>
    <col min="3587" max="3587" width="16.7109375" style="431" customWidth="1"/>
    <col min="3588" max="3588" width="84.5703125" style="431" customWidth="1"/>
    <col min="3589" max="3589" width="15.5703125" style="431" customWidth="1"/>
    <col min="3590" max="3593" width="16.28515625" style="431" customWidth="1"/>
    <col min="3594" max="3594" width="2" style="431" customWidth="1"/>
    <col min="3595" max="3595" width="11" style="431" bestFit="1" customWidth="1"/>
    <col min="3596" max="3840" width="9.140625" style="431"/>
    <col min="3841" max="3841" width="2.5703125" style="431" customWidth="1"/>
    <col min="3842" max="3842" width="1.7109375" style="431" customWidth="1"/>
    <col min="3843" max="3843" width="16.7109375" style="431" customWidth="1"/>
    <col min="3844" max="3844" width="84.5703125" style="431" customWidth="1"/>
    <col min="3845" max="3845" width="15.5703125" style="431" customWidth="1"/>
    <col min="3846" max="3849" width="16.28515625" style="431" customWidth="1"/>
    <col min="3850" max="3850" width="2" style="431" customWidth="1"/>
    <col min="3851" max="3851" width="11" style="431" bestFit="1" customWidth="1"/>
    <col min="3852" max="4096" width="9.140625" style="431"/>
    <col min="4097" max="4097" width="2.5703125" style="431" customWidth="1"/>
    <col min="4098" max="4098" width="1.7109375" style="431" customWidth="1"/>
    <col min="4099" max="4099" width="16.7109375" style="431" customWidth="1"/>
    <col min="4100" max="4100" width="84.5703125" style="431" customWidth="1"/>
    <col min="4101" max="4101" width="15.5703125" style="431" customWidth="1"/>
    <col min="4102" max="4105" width="16.28515625" style="431" customWidth="1"/>
    <col min="4106" max="4106" width="2" style="431" customWidth="1"/>
    <col min="4107" max="4107" width="11" style="431" bestFit="1" customWidth="1"/>
    <col min="4108" max="4352" width="9.140625" style="431"/>
    <col min="4353" max="4353" width="2.5703125" style="431" customWidth="1"/>
    <col min="4354" max="4354" width="1.7109375" style="431" customWidth="1"/>
    <col min="4355" max="4355" width="16.7109375" style="431" customWidth="1"/>
    <col min="4356" max="4356" width="84.5703125" style="431" customWidth="1"/>
    <col min="4357" max="4357" width="15.5703125" style="431" customWidth="1"/>
    <col min="4358" max="4361" width="16.28515625" style="431" customWidth="1"/>
    <col min="4362" max="4362" width="2" style="431" customWidth="1"/>
    <col min="4363" max="4363" width="11" style="431" bestFit="1" customWidth="1"/>
    <col min="4364" max="4608" width="9.140625" style="431"/>
    <col min="4609" max="4609" width="2.5703125" style="431" customWidth="1"/>
    <col min="4610" max="4610" width="1.7109375" style="431" customWidth="1"/>
    <col min="4611" max="4611" width="16.7109375" style="431" customWidth="1"/>
    <col min="4612" max="4612" width="84.5703125" style="431" customWidth="1"/>
    <col min="4613" max="4613" width="15.5703125" style="431" customWidth="1"/>
    <col min="4614" max="4617" width="16.28515625" style="431" customWidth="1"/>
    <col min="4618" max="4618" width="2" style="431" customWidth="1"/>
    <col min="4619" max="4619" width="11" style="431" bestFit="1" customWidth="1"/>
    <col min="4620" max="4864" width="9.140625" style="431"/>
    <col min="4865" max="4865" width="2.5703125" style="431" customWidth="1"/>
    <col min="4866" max="4866" width="1.7109375" style="431" customWidth="1"/>
    <col min="4867" max="4867" width="16.7109375" style="431" customWidth="1"/>
    <col min="4868" max="4868" width="84.5703125" style="431" customWidth="1"/>
    <col min="4869" max="4869" width="15.5703125" style="431" customWidth="1"/>
    <col min="4870" max="4873" width="16.28515625" style="431" customWidth="1"/>
    <col min="4874" max="4874" width="2" style="431" customWidth="1"/>
    <col min="4875" max="4875" width="11" style="431" bestFit="1" customWidth="1"/>
    <col min="4876" max="5120" width="9.140625" style="431"/>
    <col min="5121" max="5121" width="2.5703125" style="431" customWidth="1"/>
    <col min="5122" max="5122" width="1.7109375" style="431" customWidth="1"/>
    <col min="5123" max="5123" width="16.7109375" style="431" customWidth="1"/>
    <col min="5124" max="5124" width="84.5703125" style="431" customWidth="1"/>
    <col min="5125" max="5125" width="15.5703125" style="431" customWidth="1"/>
    <col min="5126" max="5129" width="16.28515625" style="431" customWidth="1"/>
    <col min="5130" max="5130" width="2" style="431" customWidth="1"/>
    <col min="5131" max="5131" width="11" style="431" bestFit="1" customWidth="1"/>
    <col min="5132" max="5376" width="9.140625" style="431"/>
    <col min="5377" max="5377" width="2.5703125" style="431" customWidth="1"/>
    <col min="5378" max="5378" width="1.7109375" style="431" customWidth="1"/>
    <col min="5379" max="5379" width="16.7109375" style="431" customWidth="1"/>
    <col min="5380" max="5380" width="84.5703125" style="431" customWidth="1"/>
    <col min="5381" max="5381" width="15.5703125" style="431" customWidth="1"/>
    <col min="5382" max="5385" width="16.28515625" style="431" customWidth="1"/>
    <col min="5386" max="5386" width="2" style="431" customWidth="1"/>
    <col min="5387" max="5387" width="11" style="431" bestFit="1" customWidth="1"/>
    <col min="5388" max="5632" width="9.140625" style="431"/>
    <col min="5633" max="5633" width="2.5703125" style="431" customWidth="1"/>
    <col min="5634" max="5634" width="1.7109375" style="431" customWidth="1"/>
    <col min="5635" max="5635" width="16.7109375" style="431" customWidth="1"/>
    <col min="5636" max="5636" width="84.5703125" style="431" customWidth="1"/>
    <col min="5637" max="5637" width="15.5703125" style="431" customWidth="1"/>
    <col min="5638" max="5641" width="16.28515625" style="431" customWidth="1"/>
    <col min="5642" max="5642" width="2" style="431" customWidth="1"/>
    <col min="5643" max="5643" width="11" style="431" bestFit="1" customWidth="1"/>
    <col min="5644" max="5888" width="9.140625" style="431"/>
    <col min="5889" max="5889" width="2.5703125" style="431" customWidth="1"/>
    <col min="5890" max="5890" width="1.7109375" style="431" customWidth="1"/>
    <col min="5891" max="5891" width="16.7109375" style="431" customWidth="1"/>
    <col min="5892" max="5892" width="84.5703125" style="431" customWidth="1"/>
    <col min="5893" max="5893" width="15.5703125" style="431" customWidth="1"/>
    <col min="5894" max="5897" width="16.28515625" style="431" customWidth="1"/>
    <col min="5898" max="5898" width="2" style="431" customWidth="1"/>
    <col min="5899" max="5899" width="11" style="431" bestFit="1" customWidth="1"/>
    <col min="5900" max="6144" width="9.140625" style="431"/>
    <col min="6145" max="6145" width="2.5703125" style="431" customWidth="1"/>
    <col min="6146" max="6146" width="1.7109375" style="431" customWidth="1"/>
    <col min="6147" max="6147" width="16.7109375" style="431" customWidth="1"/>
    <col min="6148" max="6148" width="84.5703125" style="431" customWidth="1"/>
    <col min="6149" max="6149" width="15.5703125" style="431" customWidth="1"/>
    <col min="6150" max="6153" width="16.28515625" style="431" customWidth="1"/>
    <col min="6154" max="6154" width="2" style="431" customWidth="1"/>
    <col min="6155" max="6155" width="11" style="431" bestFit="1" customWidth="1"/>
    <col min="6156" max="6400" width="9.140625" style="431"/>
    <col min="6401" max="6401" width="2.5703125" style="431" customWidth="1"/>
    <col min="6402" max="6402" width="1.7109375" style="431" customWidth="1"/>
    <col min="6403" max="6403" width="16.7109375" style="431" customWidth="1"/>
    <col min="6404" max="6404" width="84.5703125" style="431" customWidth="1"/>
    <col min="6405" max="6405" width="15.5703125" style="431" customWidth="1"/>
    <col min="6406" max="6409" width="16.28515625" style="431" customWidth="1"/>
    <col min="6410" max="6410" width="2" style="431" customWidth="1"/>
    <col min="6411" max="6411" width="11" style="431" bestFit="1" customWidth="1"/>
    <col min="6412" max="6656" width="9.140625" style="431"/>
    <col min="6657" max="6657" width="2.5703125" style="431" customWidth="1"/>
    <col min="6658" max="6658" width="1.7109375" style="431" customWidth="1"/>
    <col min="6659" max="6659" width="16.7109375" style="431" customWidth="1"/>
    <col min="6660" max="6660" width="84.5703125" style="431" customWidth="1"/>
    <col min="6661" max="6661" width="15.5703125" style="431" customWidth="1"/>
    <col min="6662" max="6665" width="16.28515625" style="431" customWidth="1"/>
    <col min="6666" max="6666" width="2" style="431" customWidth="1"/>
    <col min="6667" max="6667" width="11" style="431" bestFit="1" customWidth="1"/>
    <col min="6668" max="6912" width="9.140625" style="431"/>
    <col min="6913" max="6913" width="2.5703125" style="431" customWidth="1"/>
    <col min="6914" max="6914" width="1.7109375" style="431" customWidth="1"/>
    <col min="6915" max="6915" width="16.7109375" style="431" customWidth="1"/>
    <col min="6916" max="6916" width="84.5703125" style="431" customWidth="1"/>
    <col min="6917" max="6917" width="15.5703125" style="431" customWidth="1"/>
    <col min="6918" max="6921" width="16.28515625" style="431" customWidth="1"/>
    <col min="6922" max="6922" width="2" style="431" customWidth="1"/>
    <col min="6923" max="6923" width="11" style="431" bestFit="1" customWidth="1"/>
    <col min="6924" max="7168" width="9.140625" style="431"/>
    <col min="7169" max="7169" width="2.5703125" style="431" customWidth="1"/>
    <col min="7170" max="7170" width="1.7109375" style="431" customWidth="1"/>
    <col min="7171" max="7171" width="16.7109375" style="431" customWidth="1"/>
    <col min="7172" max="7172" width="84.5703125" style="431" customWidth="1"/>
    <col min="7173" max="7173" width="15.5703125" style="431" customWidth="1"/>
    <col min="7174" max="7177" width="16.28515625" style="431" customWidth="1"/>
    <col min="7178" max="7178" width="2" style="431" customWidth="1"/>
    <col min="7179" max="7179" width="11" style="431" bestFit="1" customWidth="1"/>
    <col min="7180" max="7424" width="9.140625" style="431"/>
    <col min="7425" max="7425" width="2.5703125" style="431" customWidth="1"/>
    <col min="7426" max="7426" width="1.7109375" style="431" customWidth="1"/>
    <col min="7427" max="7427" width="16.7109375" style="431" customWidth="1"/>
    <col min="7428" max="7428" width="84.5703125" style="431" customWidth="1"/>
    <col min="7429" max="7429" width="15.5703125" style="431" customWidth="1"/>
    <col min="7430" max="7433" width="16.28515625" style="431" customWidth="1"/>
    <col min="7434" max="7434" width="2" style="431" customWidth="1"/>
    <col min="7435" max="7435" width="11" style="431" bestFit="1" customWidth="1"/>
    <col min="7436" max="7680" width="9.140625" style="431"/>
    <col min="7681" max="7681" width="2.5703125" style="431" customWidth="1"/>
    <col min="7682" max="7682" width="1.7109375" style="431" customWidth="1"/>
    <col min="7683" max="7683" width="16.7109375" style="431" customWidth="1"/>
    <col min="7684" max="7684" width="84.5703125" style="431" customWidth="1"/>
    <col min="7685" max="7685" width="15.5703125" style="431" customWidth="1"/>
    <col min="7686" max="7689" width="16.28515625" style="431" customWidth="1"/>
    <col min="7690" max="7690" width="2" style="431" customWidth="1"/>
    <col min="7691" max="7691" width="11" style="431" bestFit="1" customWidth="1"/>
    <col min="7692" max="7936" width="9.140625" style="431"/>
    <col min="7937" max="7937" width="2.5703125" style="431" customWidth="1"/>
    <col min="7938" max="7938" width="1.7109375" style="431" customWidth="1"/>
    <col min="7939" max="7939" width="16.7109375" style="431" customWidth="1"/>
    <col min="7940" max="7940" width="84.5703125" style="431" customWidth="1"/>
    <col min="7941" max="7941" width="15.5703125" style="431" customWidth="1"/>
    <col min="7942" max="7945" width="16.28515625" style="431" customWidth="1"/>
    <col min="7946" max="7946" width="2" style="431" customWidth="1"/>
    <col min="7947" max="7947" width="11" style="431" bestFit="1" customWidth="1"/>
    <col min="7948" max="8192" width="9.140625" style="431"/>
    <col min="8193" max="8193" width="2.5703125" style="431" customWidth="1"/>
    <col min="8194" max="8194" width="1.7109375" style="431" customWidth="1"/>
    <col min="8195" max="8195" width="16.7109375" style="431" customWidth="1"/>
    <col min="8196" max="8196" width="84.5703125" style="431" customWidth="1"/>
    <col min="8197" max="8197" width="15.5703125" style="431" customWidth="1"/>
    <col min="8198" max="8201" width="16.28515625" style="431" customWidth="1"/>
    <col min="8202" max="8202" width="2" style="431" customWidth="1"/>
    <col min="8203" max="8203" width="11" style="431" bestFit="1" customWidth="1"/>
    <col min="8204" max="8448" width="9.140625" style="431"/>
    <col min="8449" max="8449" width="2.5703125" style="431" customWidth="1"/>
    <col min="8450" max="8450" width="1.7109375" style="431" customWidth="1"/>
    <col min="8451" max="8451" width="16.7109375" style="431" customWidth="1"/>
    <col min="8452" max="8452" width="84.5703125" style="431" customWidth="1"/>
    <col min="8453" max="8453" width="15.5703125" style="431" customWidth="1"/>
    <col min="8454" max="8457" width="16.28515625" style="431" customWidth="1"/>
    <col min="8458" max="8458" width="2" style="431" customWidth="1"/>
    <col min="8459" max="8459" width="11" style="431" bestFit="1" customWidth="1"/>
    <col min="8460" max="8704" width="9.140625" style="431"/>
    <col min="8705" max="8705" width="2.5703125" style="431" customWidth="1"/>
    <col min="8706" max="8706" width="1.7109375" style="431" customWidth="1"/>
    <col min="8707" max="8707" width="16.7109375" style="431" customWidth="1"/>
    <col min="8708" max="8708" width="84.5703125" style="431" customWidth="1"/>
    <col min="8709" max="8709" width="15.5703125" style="431" customWidth="1"/>
    <col min="8710" max="8713" width="16.28515625" style="431" customWidth="1"/>
    <col min="8714" max="8714" width="2" style="431" customWidth="1"/>
    <col min="8715" max="8715" width="11" style="431" bestFit="1" customWidth="1"/>
    <col min="8716" max="8960" width="9.140625" style="431"/>
    <col min="8961" max="8961" width="2.5703125" style="431" customWidth="1"/>
    <col min="8962" max="8962" width="1.7109375" style="431" customWidth="1"/>
    <col min="8963" max="8963" width="16.7109375" style="431" customWidth="1"/>
    <col min="8964" max="8964" width="84.5703125" style="431" customWidth="1"/>
    <col min="8965" max="8965" width="15.5703125" style="431" customWidth="1"/>
    <col min="8966" max="8969" width="16.28515625" style="431" customWidth="1"/>
    <col min="8970" max="8970" width="2" style="431" customWidth="1"/>
    <col min="8971" max="8971" width="11" style="431" bestFit="1" customWidth="1"/>
    <col min="8972" max="9216" width="9.140625" style="431"/>
    <col min="9217" max="9217" width="2.5703125" style="431" customWidth="1"/>
    <col min="9218" max="9218" width="1.7109375" style="431" customWidth="1"/>
    <col min="9219" max="9219" width="16.7109375" style="431" customWidth="1"/>
    <col min="9220" max="9220" width="84.5703125" style="431" customWidth="1"/>
    <col min="9221" max="9221" width="15.5703125" style="431" customWidth="1"/>
    <col min="9222" max="9225" width="16.28515625" style="431" customWidth="1"/>
    <col min="9226" max="9226" width="2" style="431" customWidth="1"/>
    <col min="9227" max="9227" width="11" style="431" bestFit="1" customWidth="1"/>
    <col min="9228" max="9472" width="9.140625" style="431"/>
    <col min="9473" max="9473" width="2.5703125" style="431" customWidth="1"/>
    <col min="9474" max="9474" width="1.7109375" style="431" customWidth="1"/>
    <col min="9475" max="9475" width="16.7109375" style="431" customWidth="1"/>
    <col min="9476" max="9476" width="84.5703125" style="431" customWidth="1"/>
    <col min="9477" max="9477" width="15.5703125" style="431" customWidth="1"/>
    <col min="9478" max="9481" width="16.28515625" style="431" customWidth="1"/>
    <col min="9482" max="9482" width="2" style="431" customWidth="1"/>
    <col min="9483" max="9483" width="11" style="431" bestFit="1" customWidth="1"/>
    <col min="9484" max="9728" width="9.140625" style="431"/>
    <col min="9729" max="9729" width="2.5703125" style="431" customWidth="1"/>
    <col min="9730" max="9730" width="1.7109375" style="431" customWidth="1"/>
    <col min="9731" max="9731" width="16.7109375" style="431" customWidth="1"/>
    <col min="9732" max="9732" width="84.5703125" style="431" customWidth="1"/>
    <col min="9733" max="9733" width="15.5703125" style="431" customWidth="1"/>
    <col min="9734" max="9737" width="16.28515625" style="431" customWidth="1"/>
    <col min="9738" max="9738" width="2" style="431" customWidth="1"/>
    <col min="9739" max="9739" width="11" style="431" bestFit="1" customWidth="1"/>
    <col min="9740" max="9984" width="9.140625" style="431"/>
    <col min="9985" max="9985" width="2.5703125" style="431" customWidth="1"/>
    <col min="9986" max="9986" width="1.7109375" style="431" customWidth="1"/>
    <col min="9987" max="9987" width="16.7109375" style="431" customWidth="1"/>
    <col min="9988" max="9988" width="84.5703125" style="431" customWidth="1"/>
    <col min="9989" max="9989" width="15.5703125" style="431" customWidth="1"/>
    <col min="9990" max="9993" width="16.28515625" style="431" customWidth="1"/>
    <col min="9994" max="9994" width="2" style="431" customWidth="1"/>
    <col min="9995" max="9995" width="11" style="431" bestFit="1" customWidth="1"/>
    <col min="9996" max="10240" width="9.140625" style="431"/>
    <col min="10241" max="10241" width="2.5703125" style="431" customWidth="1"/>
    <col min="10242" max="10242" width="1.7109375" style="431" customWidth="1"/>
    <col min="10243" max="10243" width="16.7109375" style="431" customWidth="1"/>
    <col min="10244" max="10244" width="84.5703125" style="431" customWidth="1"/>
    <col min="10245" max="10245" width="15.5703125" style="431" customWidth="1"/>
    <col min="10246" max="10249" width="16.28515625" style="431" customWidth="1"/>
    <col min="10250" max="10250" width="2" style="431" customWidth="1"/>
    <col min="10251" max="10251" width="11" style="431" bestFit="1" customWidth="1"/>
    <col min="10252" max="10496" width="9.140625" style="431"/>
    <col min="10497" max="10497" width="2.5703125" style="431" customWidth="1"/>
    <col min="10498" max="10498" width="1.7109375" style="431" customWidth="1"/>
    <col min="10499" max="10499" width="16.7109375" style="431" customWidth="1"/>
    <col min="10500" max="10500" width="84.5703125" style="431" customWidth="1"/>
    <col min="10501" max="10501" width="15.5703125" style="431" customWidth="1"/>
    <col min="10502" max="10505" width="16.28515625" style="431" customWidth="1"/>
    <col min="10506" max="10506" width="2" style="431" customWidth="1"/>
    <col min="10507" max="10507" width="11" style="431" bestFit="1" customWidth="1"/>
    <col min="10508" max="10752" width="9.140625" style="431"/>
    <col min="10753" max="10753" width="2.5703125" style="431" customWidth="1"/>
    <col min="10754" max="10754" width="1.7109375" style="431" customWidth="1"/>
    <col min="10755" max="10755" width="16.7109375" style="431" customWidth="1"/>
    <col min="10756" max="10756" width="84.5703125" style="431" customWidth="1"/>
    <col min="10757" max="10757" width="15.5703125" style="431" customWidth="1"/>
    <col min="10758" max="10761" width="16.28515625" style="431" customWidth="1"/>
    <col min="10762" max="10762" width="2" style="431" customWidth="1"/>
    <col min="10763" max="10763" width="11" style="431" bestFit="1" customWidth="1"/>
    <col min="10764" max="11008" width="9.140625" style="431"/>
    <col min="11009" max="11009" width="2.5703125" style="431" customWidth="1"/>
    <col min="11010" max="11010" width="1.7109375" style="431" customWidth="1"/>
    <col min="11011" max="11011" width="16.7109375" style="431" customWidth="1"/>
    <col min="11012" max="11012" width="84.5703125" style="431" customWidth="1"/>
    <col min="11013" max="11013" width="15.5703125" style="431" customWidth="1"/>
    <col min="11014" max="11017" width="16.28515625" style="431" customWidth="1"/>
    <col min="11018" max="11018" width="2" style="431" customWidth="1"/>
    <col min="11019" max="11019" width="11" style="431" bestFit="1" customWidth="1"/>
    <col min="11020" max="11264" width="9.140625" style="431"/>
    <col min="11265" max="11265" width="2.5703125" style="431" customWidth="1"/>
    <col min="11266" max="11266" width="1.7109375" style="431" customWidth="1"/>
    <col min="11267" max="11267" width="16.7109375" style="431" customWidth="1"/>
    <col min="11268" max="11268" width="84.5703125" style="431" customWidth="1"/>
    <col min="11269" max="11269" width="15.5703125" style="431" customWidth="1"/>
    <col min="11270" max="11273" width="16.28515625" style="431" customWidth="1"/>
    <col min="11274" max="11274" width="2" style="431" customWidth="1"/>
    <col min="11275" max="11275" width="11" style="431" bestFit="1" customWidth="1"/>
    <col min="11276" max="11520" width="9.140625" style="431"/>
    <col min="11521" max="11521" width="2.5703125" style="431" customWidth="1"/>
    <col min="11522" max="11522" width="1.7109375" style="431" customWidth="1"/>
    <col min="11523" max="11523" width="16.7109375" style="431" customWidth="1"/>
    <col min="11524" max="11524" width="84.5703125" style="431" customWidth="1"/>
    <col min="11525" max="11525" width="15.5703125" style="431" customWidth="1"/>
    <col min="11526" max="11529" width="16.28515625" style="431" customWidth="1"/>
    <col min="11530" max="11530" width="2" style="431" customWidth="1"/>
    <col min="11531" max="11531" width="11" style="431" bestFit="1" customWidth="1"/>
    <col min="11532" max="11776" width="9.140625" style="431"/>
    <col min="11777" max="11777" width="2.5703125" style="431" customWidth="1"/>
    <col min="11778" max="11778" width="1.7109375" style="431" customWidth="1"/>
    <col min="11779" max="11779" width="16.7109375" style="431" customWidth="1"/>
    <col min="11780" max="11780" width="84.5703125" style="431" customWidth="1"/>
    <col min="11781" max="11781" width="15.5703125" style="431" customWidth="1"/>
    <col min="11782" max="11785" width="16.28515625" style="431" customWidth="1"/>
    <col min="11786" max="11786" width="2" style="431" customWidth="1"/>
    <col min="11787" max="11787" width="11" style="431" bestFit="1" customWidth="1"/>
    <col min="11788" max="12032" width="9.140625" style="431"/>
    <col min="12033" max="12033" width="2.5703125" style="431" customWidth="1"/>
    <col min="12034" max="12034" width="1.7109375" style="431" customWidth="1"/>
    <col min="12035" max="12035" width="16.7109375" style="431" customWidth="1"/>
    <col min="12036" max="12036" width="84.5703125" style="431" customWidth="1"/>
    <col min="12037" max="12037" width="15.5703125" style="431" customWidth="1"/>
    <col min="12038" max="12041" width="16.28515625" style="431" customWidth="1"/>
    <col min="12042" max="12042" width="2" style="431" customWidth="1"/>
    <col min="12043" max="12043" width="11" style="431" bestFit="1" customWidth="1"/>
    <col min="12044" max="12288" width="9.140625" style="431"/>
    <col min="12289" max="12289" width="2.5703125" style="431" customWidth="1"/>
    <col min="12290" max="12290" width="1.7109375" style="431" customWidth="1"/>
    <col min="12291" max="12291" width="16.7109375" style="431" customWidth="1"/>
    <col min="12292" max="12292" width="84.5703125" style="431" customWidth="1"/>
    <col min="12293" max="12293" width="15.5703125" style="431" customWidth="1"/>
    <col min="12294" max="12297" width="16.28515625" style="431" customWidth="1"/>
    <col min="12298" max="12298" width="2" style="431" customWidth="1"/>
    <col min="12299" max="12299" width="11" style="431" bestFit="1" customWidth="1"/>
    <col min="12300" max="12544" width="9.140625" style="431"/>
    <col min="12545" max="12545" width="2.5703125" style="431" customWidth="1"/>
    <col min="12546" max="12546" width="1.7109375" style="431" customWidth="1"/>
    <col min="12547" max="12547" width="16.7109375" style="431" customWidth="1"/>
    <col min="12548" max="12548" width="84.5703125" style="431" customWidth="1"/>
    <col min="12549" max="12549" width="15.5703125" style="431" customWidth="1"/>
    <col min="12550" max="12553" width="16.28515625" style="431" customWidth="1"/>
    <col min="12554" max="12554" width="2" style="431" customWidth="1"/>
    <col min="12555" max="12555" width="11" style="431" bestFit="1" customWidth="1"/>
    <col min="12556" max="12800" width="9.140625" style="431"/>
    <col min="12801" max="12801" width="2.5703125" style="431" customWidth="1"/>
    <col min="12802" max="12802" width="1.7109375" style="431" customWidth="1"/>
    <col min="12803" max="12803" width="16.7109375" style="431" customWidth="1"/>
    <col min="12804" max="12804" width="84.5703125" style="431" customWidth="1"/>
    <col min="12805" max="12805" width="15.5703125" style="431" customWidth="1"/>
    <col min="12806" max="12809" width="16.28515625" style="431" customWidth="1"/>
    <col min="12810" max="12810" width="2" style="431" customWidth="1"/>
    <col min="12811" max="12811" width="11" style="431" bestFit="1" customWidth="1"/>
    <col min="12812" max="13056" width="9.140625" style="431"/>
    <col min="13057" max="13057" width="2.5703125" style="431" customWidth="1"/>
    <col min="13058" max="13058" width="1.7109375" style="431" customWidth="1"/>
    <col min="13059" max="13059" width="16.7109375" style="431" customWidth="1"/>
    <col min="13060" max="13060" width="84.5703125" style="431" customWidth="1"/>
    <col min="13061" max="13061" width="15.5703125" style="431" customWidth="1"/>
    <col min="13062" max="13065" width="16.28515625" style="431" customWidth="1"/>
    <col min="13066" max="13066" width="2" style="431" customWidth="1"/>
    <col min="13067" max="13067" width="11" style="431" bestFit="1" customWidth="1"/>
    <col min="13068" max="13312" width="9.140625" style="431"/>
    <col min="13313" max="13313" width="2.5703125" style="431" customWidth="1"/>
    <col min="13314" max="13314" width="1.7109375" style="431" customWidth="1"/>
    <col min="13315" max="13315" width="16.7109375" style="431" customWidth="1"/>
    <col min="13316" max="13316" width="84.5703125" style="431" customWidth="1"/>
    <col min="13317" max="13317" width="15.5703125" style="431" customWidth="1"/>
    <col min="13318" max="13321" width="16.28515625" style="431" customWidth="1"/>
    <col min="13322" max="13322" width="2" style="431" customWidth="1"/>
    <col min="13323" max="13323" width="11" style="431" bestFit="1" customWidth="1"/>
    <col min="13324" max="13568" width="9.140625" style="431"/>
    <col min="13569" max="13569" width="2.5703125" style="431" customWidth="1"/>
    <col min="13570" max="13570" width="1.7109375" style="431" customWidth="1"/>
    <col min="13571" max="13571" width="16.7109375" style="431" customWidth="1"/>
    <col min="13572" max="13572" width="84.5703125" style="431" customWidth="1"/>
    <col min="13573" max="13573" width="15.5703125" style="431" customWidth="1"/>
    <col min="13574" max="13577" width="16.28515625" style="431" customWidth="1"/>
    <col min="13578" max="13578" width="2" style="431" customWidth="1"/>
    <col min="13579" max="13579" width="11" style="431" bestFit="1" customWidth="1"/>
    <col min="13580" max="13824" width="9.140625" style="431"/>
    <col min="13825" max="13825" width="2.5703125" style="431" customWidth="1"/>
    <col min="13826" max="13826" width="1.7109375" style="431" customWidth="1"/>
    <col min="13827" max="13827" width="16.7109375" style="431" customWidth="1"/>
    <col min="13828" max="13828" width="84.5703125" style="431" customWidth="1"/>
    <col min="13829" max="13829" width="15.5703125" style="431" customWidth="1"/>
    <col min="13830" max="13833" width="16.28515625" style="431" customWidth="1"/>
    <col min="13834" max="13834" width="2" style="431" customWidth="1"/>
    <col min="13835" max="13835" width="11" style="431" bestFit="1" customWidth="1"/>
    <col min="13836" max="14080" width="9.140625" style="431"/>
    <col min="14081" max="14081" width="2.5703125" style="431" customWidth="1"/>
    <col min="14082" max="14082" width="1.7109375" style="431" customWidth="1"/>
    <col min="14083" max="14083" width="16.7109375" style="431" customWidth="1"/>
    <col min="14084" max="14084" width="84.5703125" style="431" customWidth="1"/>
    <col min="14085" max="14085" width="15.5703125" style="431" customWidth="1"/>
    <col min="14086" max="14089" width="16.28515625" style="431" customWidth="1"/>
    <col min="14090" max="14090" width="2" style="431" customWidth="1"/>
    <col min="14091" max="14091" width="11" style="431" bestFit="1" customWidth="1"/>
    <col min="14092" max="14336" width="9.140625" style="431"/>
    <col min="14337" max="14337" width="2.5703125" style="431" customWidth="1"/>
    <col min="14338" max="14338" width="1.7109375" style="431" customWidth="1"/>
    <col min="14339" max="14339" width="16.7109375" style="431" customWidth="1"/>
    <col min="14340" max="14340" width="84.5703125" style="431" customWidth="1"/>
    <col min="14341" max="14341" width="15.5703125" style="431" customWidth="1"/>
    <col min="14342" max="14345" width="16.28515625" style="431" customWidth="1"/>
    <col min="14346" max="14346" width="2" style="431" customWidth="1"/>
    <col min="14347" max="14347" width="11" style="431" bestFit="1" customWidth="1"/>
    <col min="14348" max="14592" width="9.140625" style="431"/>
    <col min="14593" max="14593" width="2.5703125" style="431" customWidth="1"/>
    <col min="14594" max="14594" width="1.7109375" style="431" customWidth="1"/>
    <col min="14595" max="14595" width="16.7109375" style="431" customWidth="1"/>
    <col min="14596" max="14596" width="84.5703125" style="431" customWidth="1"/>
    <col min="14597" max="14597" width="15.5703125" style="431" customWidth="1"/>
    <col min="14598" max="14601" width="16.28515625" style="431" customWidth="1"/>
    <col min="14602" max="14602" width="2" style="431" customWidth="1"/>
    <col min="14603" max="14603" width="11" style="431" bestFit="1" customWidth="1"/>
    <col min="14604" max="14848" width="9.140625" style="431"/>
    <col min="14849" max="14849" width="2.5703125" style="431" customWidth="1"/>
    <col min="14850" max="14850" width="1.7109375" style="431" customWidth="1"/>
    <col min="14851" max="14851" width="16.7109375" style="431" customWidth="1"/>
    <col min="14852" max="14852" width="84.5703125" style="431" customWidth="1"/>
    <col min="14853" max="14853" width="15.5703125" style="431" customWidth="1"/>
    <col min="14854" max="14857" width="16.28515625" style="431" customWidth="1"/>
    <col min="14858" max="14858" width="2" style="431" customWidth="1"/>
    <col min="14859" max="14859" width="11" style="431" bestFit="1" customWidth="1"/>
    <col min="14860" max="15104" width="9.140625" style="431"/>
    <col min="15105" max="15105" width="2.5703125" style="431" customWidth="1"/>
    <col min="15106" max="15106" width="1.7109375" style="431" customWidth="1"/>
    <col min="15107" max="15107" width="16.7109375" style="431" customWidth="1"/>
    <col min="15108" max="15108" width="84.5703125" style="431" customWidth="1"/>
    <col min="15109" max="15109" width="15.5703125" style="431" customWidth="1"/>
    <col min="15110" max="15113" width="16.28515625" style="431" customWidth="1"/>
    <col min="15114" max="15114" width="2" style="431" customWidth="1"/>
    <col min="15115" max="15115" width="11" style="431" bestFit="1" customWidth="1"/>
    <col min="15116" max="15360" width="9.140625" style="431"/>
    <col min="15361" max="15361" width="2.5703125" style="431" customWidth="1"/>
    <col min="15362" max="15362" width="1.7109375" style="431" customWidth="1"/>
    <col min="15363" max="15363" width="16.7109375" style="431" customWidth="1"/>
    <col min="15364" max="15364" width="84.5703125" style="431" customWidth="1"/>
    <col min="15365" max="15365" width="15.5703125" style="431" customWidth="1"/>
    <col min="15366" max="15369" width="16.28515625" style="431" customWidth="1"/>
    <col min="15370" max="15370" width="2" style="431" customWidth="1"/>
    <col min="15371" max="15371" width="11" style="431" bestFit="1" customWidth="1"/>
    <col min="15372" max="15616" width="9.140625" style="431"/>
    <col min="15617" max="15617" width="2.5703125" style="431" customWidth="1"/>
    <col min="15618" max="15618" width="1.7109375" style="431" customWidth="1"/>
    <col min="15619" max="15619" width="16.7109375" style="431" customWidth="1"/>
    <col min="15620" max="15620" width="84.5703125" style="431" customWidth="1"/>
    <col min="15621" max="15621" width="15.5703125" style="431" customWidth="1"/>
    <col min="15622" max="15625" width="16.28515625" style="431" customWidth="1"/>
    <col min="15626" max="15626" width="2" style="431" customWidth="1"/>
    <col min="15627" max="15627" width="11" style="431" bestFit="1" customWidth="1"/>
    <col min="15628" max="15872" width="9.140625" style="431"/>
    <col min="15873" max="15873" width="2.5703125" style="431" customWidth="1"/>
    <col min="15874" max="15874" width="1.7109375" style="431" customWidth="1"/>
    <col min="15875" max="15875" width="16.7109375" style="431" customWidth="1"/>
    <col min="15876" max="15876" width="84.5703125" style="431" customWidth="1"/>
    <col min="15877" max="15877" width="15.5703125" style="431" customWidth="1"/>
    <col min="15878" max="15881" width="16.28515625" style="431" customWidth="1"/>
    <col min="15882" max="15882" width="2" style="431" customWidth="1"/>
    <col min="15883" max="15883" width="11" style="431" bestFit="1" customWidth="1"/>
    <col min="15884" max="16128" width="9.140625" style="431"/>
    <col min="16129" max="16129" width="2.5703125" style="431" customWidth="1"/>
    <col min="16130" max="16130" width="1.7109375" style="431" customWidth="1"/>
    <col min="16131" max="16131" width="16.7109375" style="431" customWidth="1"/>
    <col min="16132" max="16132" width="84.5703125" style="431" customWidth="1"/>
    <col min="16133" max="16133" width="15.5703125" style="431" customWidth="1"/>
    <col min="16134" max="16137" width="16.28515625" style="431" customWidth="1"/>
    <col min="16138" max="16138" width="2" style="431" customWidth="1"/>
    <col min="16139" max="16139" width="11" style="431" bestFit="1" customWidth="1"/>
    <col min="16140" max="16384" width="9.140625" style="431"/>
  </cols>
  <sheetData>
    <row r="1" spans="1:9" ht="14.25" customHeight="1"/>
    <row r="2" spans="1:9" ht="12.75" customHeight="1"/>
    <row r="3" spans="1:9" ht="16.5" customHeight="1">
      <c r="C3" s="434"/>
      <c r="D3" s="435"/>
      <c r="E3" s="436"/>
      <c r="F3" s="436"/>
      <c r="G3" s="436"/>
      <c r="H3" s="437"/>
      <c r="I3" s="438"/>
    </row>
    <row r="4" spans="1:9" ht="37.5" customHeight="1">
      <c r="C4" s="439"/>
      <c r="I4" s="440"/>
    </row>
    <row r="5" spans="1:9" ht="58.5" customHeight="1">
      <c r="C5" s="439"/>
      <c r="D5" s="441"/>
      <c r="E5" s="442"/>
      <c r="F5" s="442"/>
      <c r="G5" s="442"/>
      <c r="H5" s="443"/>
      <c r="I5" s="444"/>
    </row>
    <row r="6" spans="1:9" s="388" customFormat="1" ht="20.100000000000001" customHeight="1">
      <c r="A6" s="389"/>
      <c r="C6" s="765" t="s">
        <v>520</v>
      </c>
      <c r="D6" s="766"/>
      <c r="E6" s="766"/>
      <c r="F6" s="766"/>
      <c r="G6" s="766"/>
      <c r="H6" s="766"/>
      <c r="I6" s="767"/>
    </row>
    <row r="7" spans="1:9" s="445" customFormat="1" ht="24.95" customHeight="1">
      <c r="C7" s="768" t="str">
        <f>Orçamento!B4</f>
        <v>PREFEITURA: Prefeitura Municipal de Pouso Alegre</v>
      </c>
      <c r="D7" s="769"/>
      <c r="E7" s="769"/>
      <c r="F7" s="769"/>
      <c r="G7" s="769"/>
      <c r="H7" s="769"/>
      <c r="I7" s="770"/>
    </row>
    <row r="8" spans="1:9" s="445" customFormat="1" ht="24.95" customHeight="1">
      <c r="C8" s="768" t="str">
        <f>Orçamento!B5</f>
        <v>OBRA: Pavimentação e Drenagem da Via Noroeste 1º Etapa</v>
      </c>
      <c r="D8" s="769"/>
      <c r="E8" s="769"/>
      <c r="F8" s="769"/>
      <c r="G8" s="769"/>
      <c r="H8" s="769"/>
      <c r="I8" s="770"/>
    </row>
    <row r="9" spans="1:9" s="445" customFormat="1" ht="24.95" customHeight="1">
      <c r="C9" s="768" t="str">
        <f>Orçamento!B6</f>
        <v>LOCAL: Av. Noroeste, Bairro Ribeirão das Mortes</v>
      </c>
      <c r="D9" s="769"/>
      <c r="E9" s="769"/>
      <c r="F9" s="769"/>
      <c r="G9" s="769"/>
      <c r="H9" s="769"/>
      <c r="I9" s="770"/>
    </row>
    <row r="10" spans="1:9" ht="32.25" customHeight="1">
      <c r="C10" s="446" t="s">
        <v>0</v>
      </c>
      <c r="D10" s="446" t="s">
        <v>2</v>
      </c>
      <c r="E10" s="446" t="s">
        <v>348</v>
      </c>
      <c r="F10" s="446" t="s">
        <v>491</v>
      </c>
      <c r="G10" s="446" t="s">
        <v>677</v>
      </c>
      <c r="H10" s="446" t="s">
        <v>678</v>
      </c>
      <c r="I10" s="447" t="s">
        <v>679</v>
      </c>
    </row>
    <row r="11" spans="1:9" ht="23.1" customHeight="1">
      <c r="C11" s="449"/>
      <c r="D11" s="449" t="s">
        <v>680</v>
      </c>
      <c r="E11" s="446"/>
      <c r="F11" s="446"/>
      <c r="G11" s="446"/>
      <c r="H11" s="446"/>
      <c r="I11" s="446"/>
    </row>
    <row r="12" spans="1:9" ht="23.1" customHeight="1">
      <c r="C12" s="448">
        <v>88255</v>
      </c>
      <c r="D12" s="450" t="s">
        <v>681</v>
      </c>
      <c r="E12" s="448" t="s">
        <v>682</v>
      </c>
      <c r="F12" s="448">
        <v>1</v>
      </c>
      <c r="G12" s="453">
        <f>27.24/1.2049*0.7674</f>
        <v>17.349137687774917</v>
      </c>
      <c r="H12" s="453">
        <f>F12*220</f>
        <v>220</v>
      </c>
      <c r="I12" s="454">
        <f>G12*H12</f>
        <v>3816.8102913104817</v>
      </c>
    </row>
    <row r="13" spans="1:9" ht="23.1" customHeight="1">
      <c r="C13" s="448"/>
      <c r="D13" s="450" t="s">
        <v>683</v>
      </c>
      <c r="E13" s="448" t="s">
        <v>682</v>
      </c>
      <c r="F13" s="448"/>
      <c r="G13" s="448"/>
      <c r="H13" s="448"/>
      <c r="I13" s="451"/>
    </row>
    <row r="14" spans="1:9" ht="23.1" customHeight="1">
      <c r="C14" s="448"/>
      <c r="D14" s="452" t="s">
        <v>684</v>
      </c>
      <c r="E14" s="448" t="s">
        <v>682</v>
      </c>
      <c r="F14" s="448"/>
      <c r="G14" s="453"/>
      <c r="H14" s="453"/>
      <c r="I14" s="454"/>
    </row>
    <row r="15" spans="1:9" ht="23.1" customHeight="1">
      <c r="C15" s="448"/>
      <c r="D15" s="452" t="s">
        <v>685</v>
      </c>
      <c r="E15" s="448" t="s">
        <v>682</v>
      </c>
      <c r="F15" s="448"/>
      <c r="G15" s="453"/>
      <c r="H15" s="453"/>
      <c r="I15" s="454"/>
    </row>
    <row r="16" spans="1:9" ht="23.1" customHeight="1">
      <c r="C16" s="448"/>
      <c r="D16" s="455"/>
      <c r="E16" s="448"/>
      <c r="F16" s="448"/>
      <c r="G16" s="453"/>
      <c r="H16" s="453"/>
      <c r="I16" s="454"/>
    </row>
    <row r="17" spans="3:9" ht="23.1" customHeight="1">
      <c r="C17" s="448"/>
      <c r="D17" s="449" t="s">
        <v>686</v>
      </c>
      <c r="E17" s="448"/>
      <c r="F17" s="448"/>
      <c r="G17" s="453"/>
      <c r="H17" s="453"/>
      <c r="I17" s="454"/>
    </row>
    <row r="18" spans="3:9" ht="23.1" customHeight="1">
      <c r="C18" s="448" t="s">
        <v>687</v>
      </c>
      <c r="D18" s="452" t="s">
        <v>688</v>
      </c>
      <c r="E18" s="448" t="s">
        <v>682</v>
      </c>
      <c r="F18" s="448">
        <v>1</v>
      </c>
      <c r="G18" s="456">
        <f>30.76/1.2049*0.7674</f>
        <v>19.591023321437465</v>
      </c>
      <c r="H18" s="453">
        <f>F18*220</f>
        <v>220</v>
      </c>
      <c r="I18" s="454">
        <f>G18*H18</f>
        <v>4310.0251307162425</v>
      </c>
    </row>
    <row r="19" spans="3:9" ht="23.1" customHeight="1">
      <c r="C19" s="448" t="s">
        <v>689</v>
      </c>
      <c r="D19" s="452" t="s">
        <v>690</v>
      </c>
      <c r="E19" s="448" t="s">
        <v>682</v>
      </c>
      <c r="F19" s="448">
        <v>1</v>
      </c>
      <c r="G19" s="453">
        <f>77.79/1.2053*0.7679</f>
        <v>49.560226499626651</v>
      </c>
      <c r="H19" s="453">
        <f>F19*220</f>
        <v>220</v>
      </c>
      <c r="I19" s="454">
        <f>G19*H19</f>
        <v>10903.249829917862</v>
      </c>
    </row>
    <row r="20" spans="3:9" ht="23.1" customHeight="1">
      <c r="C20" s="448" t="s">
        <v>691</v>
      </c>
      <c r="D20" s="452" t="s">
        <v>692</v>
      </c>
      <c r="E20" s="448" t="s">
        <v>682</v>
      </c>
      <c r="F20" s="448">
        <v>1</v>
      </c>
      <c r="G20" s="453">
        <f>27.05/1.2053*0.7679</f>
        <v>17.23363063137808</v>
      </c>
      <c r="H20" s="453">
        <f>F20*220</f>
        <v>220</v>
      </c>
      <c r="I20" s="454">
        <f>G20*H20</f>
        <v>3791.3987389031777</v>
      </c>
    </row>
    <row r="21" spans="3:9" ht="23.1" customHeight="1">
      <c r="C21" s="448"/>
      <c r="D21" s="452"/>
      <c r="E21" s="448"/>
      <c r="F21" s="448"/>
      <c r="G21" s="453"/>
      <c r="H21" s="453"/>
      <c r="I21" s="454"/>
    </row>
    <row r="22" spans="3:9" ht="23.1" customHeight="1">
      <c r="C22" s="448"/>
      <c r="D22" s="449" t="s">
        <v>693</v>
      </c>
      <c r="E22" s="448"/>
      <c r="F22" s="448"/>
      <c r="G22" s="453"/>
      <c r="H22" s="453"/>
      <c r="I22" s="454"/>
    </row>
    <row r="23" spans="3:9" ht="23.1" customHeight="1">
      <c r="C23" s="448"/>
      <c r="D23" s="452" t="s">
        <v>694</v>
      </c>
      <c r="E23" s="448" t="s">
        <v>682</v>
      </c>
      <c r="F23" s="448"/>
      <c r="G23" s="453"/>
      <c r="H23" s="453"/>
      <c r="I23" s="454"/>
    </row>
    <row r="24" spans="3:9" ht="23.1" customHeight="1">
      <c r="C24" s="448"/>
      <c r="D24" s="452" t="s">
        <v>695</v>
      </c>
      <c r="E24" s="448" t="s">
        <v>682</v>
      </c>
      <c r="F24" s="448"/>
      <c r="G24" s="453"/>
      <c r="H24" s="453"/>
      <c r="I24" s="454"/>
    </row>
    <row r="25" spans="3:9" ht="23.1" customHeight="1">
      <c r="C25" s="448"/>
      <c r="D25" s="452"/>
      <c r="E25" s="448"/>
      <c r="F25" s="448"/>
      <c r="G25" s="453"/>
      <c r="H25" s="453"/>
      <c r="I25" s="454"/>
    </row>
    <row r="26" spans="3:9" ht="23.1" customHeight="1">
      <c r="C26" s="448"/>
      <c r="D26" s="449" t="s">
        <v>696</v>
      </c>
      <c r="E26" s="448"/>
      <c r="F26" s="448"/>
      <c r="G26" s="453"/>
      <c r="H26" s="453"/>
      <c r="I26" s="454"/>
    </row>
    <row r="27" spans="3:9" ht="23.1" customHeight="1">
      <c r="C27" s="448" t="s">
        <v>687</v>
      </c>
      <c r="D27" s="452" t="s">
        <v>697</v>
      </c>
      <c r="E27" s="448" t="s">
        <v>682</v>
      </c>
      <c r="F27" s="448">
        <v>1</v>
      </c>
      <c r="G27" s="456">
        <f>30.76/1.2049*0.7674</f>
        <v>19.591023321437465</v>
      </c>
      <c r="H27" s="453">
        <f>F27*220</f>
        <v>220</v>
      </c>
      <c r="I27" s="454">
        <f>G27*H27</f>
        <v>4310.0251307162425</v>
      </c>
    </row>
    <row r="28" spans="3:9" ht="23.1" customHeight="1">
      <c r="C28" s="448"/>
      <c r="D28" s="452" t="s">
        <v>698</v>
      </c>
      <c r="E28" s="448" t="s">
        <v>682</v>
      </c>
      <c r="F28" s="448"/>
      <c r="G28" s="453"/>
      <c r="H28" s="453"/>
      <c r="I28" s="454"/>
    </row>
    <row r="29" spans="3:9" ht="23.1" customHeight="1">
      <c r="C29" s="448"/>
      <c r="D29" s="452" t="s">
        <v>699</v>
      </c>
      <c r="E29" s="448" t="s">
        <v>682</v>
      </c>
      <c r="F29" s="448"/>
      <c r="G29" s="453"/>
      <c r="H29" s="453"/>
      <c r="I29" s="454"/>
    </row>
    <row r="30" spans="3:9" ht="23.1" customHeight="1">
      <c r="C30" s="448" t="s">
        <v>731</v>
      </c>
      <c r="D30" s="452" t="s">
        <v>700</v>
      </c>
      <c r="E30" s="448" t="s">
        <v>682</v>
      </c>
      <c r="F30" s="448">
        <v>1</v>
      </c>
      <c r="G30" s="453">
        <f>27.24/1.2049*0.7674</f>
        <v>17.349137687774917</v>
      </c>
      <c r="H30" s="453">
        <f>F30*220</f>
        <v>220</v>
      </c>
      <c r="I30" s="454">
        <f>G30*H30</f>
        <v>3816.8102913104817</v>
      </c>
    </row>
    <row r="31" spans="3:9" ht="23.1" customHeight="1">
      <c r="C31" s="448"/>
      <c r="D31" s="452" t="s">
        <v>701</v>
      </c>
      <c r="E31" s="448" t="s">
        <v>682</v>
      </c>
      <c r="F31" s="448"/>
      <c r="G31" s="453"/>
      <c r="H31" s="453"/>
      <c r="I31" s="454"/>
    </row>
    <row r="32" spans="3:9" ht="23.1" customHeight="1">
      <c r="C32" s="448" t="s">
        <v>702</v>
      </c>
      <c r="D32" s="452" t="s">
        <v>703</v>
      </c>
      <c r="E32" s="448" t="s">
        <v>682</v>
      </c>
      <c r="F32" s="448">
        <v>1</v>
      </c>
      <c r="G32" s="453">
        <f>18.23/1.2049*0.7674</f>
        <v>11.610674744792098</v>
      </c>
      <c r="H32" s="453">
        <f>F32*220</f>
        <v>220</v>
      </c>
      <c r="I32" s="454">
        <f>G32*H32</f>
        <v>2554.3484438542614</v>
      </c>
    </row>
    <row r="33" spans="3:9" ht="23.1" customHeight="1">
      <c r="C33" s="448"/>
      <c r="D33" s="452" t="s">
        <v>704</v>
      </c>
      <c r="E33" s="448" t="s">
        <v>682</v>
      </c>
      <c r="F33" s="448"/>
      <c r="G33" s="453"/>
      <c r="H33" s="453"/>
      <c r="I33" s="454"/>
    </row>
    <row r="34" spans="3:9" ht="23.1" customHeight="1">
      <c r="C34" s="448"/>
      <c r="D34" s="452"/>
      <c r="E34" s="448"/>
      <c r="F34" s="448"/>
      <c r="G34" s="453"/>
      <c r="H34" s="453"/>
      <c r="I34" s="454"/>
    </row>
    <row r="35" spans="3:9" ht="23.1" customHeight="1">
      <c r="C35" s="448"/>
      <c r="D35" s="449" t="s">
        <v>705</v>
      </c>
      <c r="E35" s="448"/>
      <c r="F35" s="448"/>
      <c r="G35" s="453"/>
      <c r="H35" s="453"/>
      <c r="I35" s="454"/>
    </row>
    <row r="36" spans="3:9" ht="23.1" customHeight="1">
      <c r="C36" s="448"/>
      <c r="D36" s="452" t="s">
        <v>706</v>
      </c>
      <c r="E36" s="448" t="s">
        <v>682</v>
      </c>
      <c r="F36" s="448"/>
      <c r="G36" s="453"/>
      <c r="H36" s="453"/>
      <c r="I36" s="454"/>
    </row>
    <row r="37" spans="3:9" ht="23.1" customHeight="1">
      <c r="C37" s="448"/>
      <c r="D37" s="452" t="s">
        <v>707</v>
      </c>
      <c r="E37" s="448" t="s">
        <v>682</v>
      </c>
      <c r="F37" s="448"/>
      <c r="G37" s="453"/>
      <c r="H37" s="453"/>
      <c r="I37" s="454"/>
    </row>
    <row r="38" spans="3:9" ht="23.1" customHeight="1">
      <c r="C38" s="448"/>
      <c r="D38" s="452" t="s">
        <v>708</v>
      </c>
      <c r="E38" s="448" t="s">
        <v>682</v>
      </c>
      <c r="F38" s="448"/>
      <c r="G38" s="453"/>
      <c r="H38" s="453"/>
      <c r="I38" s="454"/>
    </row>
    <row r="39" spans="3:9" ht="23.1" customHeight="1">
      <c r="C39" s="448"/>
      <c r="D39" s="452" t="s">
        <v>709</v>
      </c>
      <c r="E39" s="448" t="s">
        <v>682</v>
      </c>
      <c r="F39" s="448"/>
      <c r="G39" s="453"/>
      <c r="H39" s="453"/>
      <c r="I39" s="454"/>
    </row>
    <row r="40" spans="3:9" ht="23.1" customHeight="1">
      <c r="C40" s="448"/>
      <c r="D40" s="452" t="s">
        <v>710</v>
      </c>
      <c r="E40" s="448" t="s">
        <v>682</v>
      </c>
      <c r="F40" s="448"/>
      <c r="G40" s="453"/>
      <c r="H40" s="453"/>
      <c r="I40" s="454"/>
    </row>
    <row r="41" spans="3:9" ht="23.1" customHeight="1">
      <c r="C41" s="448"/>
      <c r="D41" s="452" t="s">
        <v>711</v>
      </c>
      <c r="E41" s="448" t="s">
        <v>682</v>
      </c>
      <c r="F41" s="448"/>
      <c r="G41" s="453"/>
      <c r="H41" s="453"/>
      <c r="I41" s="454"/>
    </row>
    <row r="42" spans="3:9" ht="23.1" customHeight="1">
      <c r="C42" s="448"/>
      <c r="D42" s="452" t="s">
        <v>712</v>
      </c>
      <c r="E42" s="448" t="s">
        <v>682</v>
      </c>
      <c r="F42" s="448"/>
      <c r="G42" s="453"/>
      <c r="H42" s="453"/>
      <c r="I42" s="454"/>
    </row>
    <row r="43" spans="3:9" ht="23.1" customHeight="1">
      <c r="C43" s="448"/>
      <c r="D43" s="452" t="s">
        <v>713</v>
      </c>
      <c r="E43" s="448" t="s">
        <v>682</v>
      </c>
      <c r="F43" s="448"/>
      <c r="G43" s="453"/>
      <c r="H43" s="453"/>
      <c r="I43" s="454"/>
    </row>
    <row r="44" spans="3:9" ht="23.1" customHeight="1">
      <c r="C44" s="448"/>
      <c r="D44" s="452" t="s">
        <v>714</v>
      </c>
      <c r="E44" s="448" t="s">
        <v>682</v>
      </c>
      <c r="F44" s="448"/>
      <c r="G44" s="453"/>
      <c r="H44" s="453"/>
      <c r="I44" s="454"/>
    </row>
    <row r="45" spans="3:9" ht="23.1" customHeight="1">
      <c r="C45" s="448"/>
      <c r="D45" s="452" t="s">
        <v>715</v>
      </c>
      <c r="E45" s="448" t="s">
        <v>682</v>
      </c>
      <c r="F45" s="448"/>
      <c r="G45" s="453"/>
      <c r="H45" s="453"/>
      <c r="I45" s="454"/>
    </row>
    <row r="46" spans="3:9" ht="23.1" customHeight="1">
      <c r="C46" s="448" t="s">
        <v>733</v>
      </c>
      <c r="D46" s="452" t="s">
        <v>716</v>
      </c>
      <c r="E46" s="448" t="s">
        <v>682</v>
      </c>
      <c r="F46" s="448">
        <v>2</v>
      </c>
      <c r="G46" s="453">
        <f>19.24/1.2049*0.7674</f>
        <v>12.253943065814587</v>
      </c>
      <c r="H46" s="453">
        <f>F46*220</f>
        <v>440</v>
      </c>
      <c r="I46" s="454">
        <f>G46*H46</f>
        <v>5391.7349489584185</v>
      </c>
    </row>
    <row r="47" spans="3:9" ht="23.1" customHeight="1">
      <c r="C47" s="448"/>
      <c r="D47" s="452" t="s">
        <v>717</v>
      </c>
      <c r="E47" s="448" t="s">
        <v>682</v>
      </c>
      <c r="F47" s="448"/>
      <c r="G47" s="453"/>
      <c r="H47" s="453"/>
      <c r="I47" s="454"/>
    </row>
    <row r="48" spans="3:9" ht="23.1" customHeight="1">
      <c r="C48" s="448"/>
      <c r="D48" s="452"/>
      <c r="E48" s="448"/>
      <c r="F48" s="448"/>
      <c r="G48" s="453"/>
      <c r="H48" s="453"/>
      <c r="I48" s="454"/>
    </row>
    <row r="49" spans="3:9" ht="23.1" customHeight="1">
      <c r="C49" s="448"/>
      <c r="D49" s="449" t="s">
        <v>718</v>
      </c>
      <c r="E49" s="448"/>
      <c r="F49" s="448"/>
      <c r="G49" s="453"/>
      <c r="H49" s="453"/>
      <c r="I49" s="454"/>
    </row>
    <row r="50" spans="3:9" ht="23.1" customHeight="1">
      <c r="C50" s="448"/>
      <c r="D50" s="452" t="s">
        <v>719</v>
      </c>
      <c r="E50" s="448" t="s">
        <v>682</v>
      </c>
      <c r="F50" s="448"/>
      <c r="G50" s="453"/>
      <c r="H50" s="453"/>
      <c r="I50" s="454"/>
    </row>
    <row r="51" spans="3:9" ht="23.1" customHeight="1">
      <c r="C51" s="448"/>
      <c r="D51" s="452" t="s">
        <v>720</v>
      </c>
      <c r="E51" s="448" t="s">
        <v>682</v>
      </c>
      <c r="F51" s="448"/>
      <c r="G51" s="453"/>
      <c r="H51" s="453"/>
      <c r="I51" s="454"/>
    </row>
    <row r="52" spans="3:9" ht="23.1" customHeight="1">
      <c r="C52" s="448"/>
      <c r="D52" s="452" t="s">
        <v>721</v>
      </c>
      <c r="E52" s="448" t="s">
        <v>682</v>
      </c>
      <c r="F52" s="448"/>
      <c r="G52" s="453"/>
      <c r="H52" s="453"/>
      <c r="I52" s="454"/>
    </row>
    <row r="53" spans="3:9" ht="23.1" customHeight="1">
      <c r="C53" s="448" t="s">
        <v>689</v>
      </c>
      <c r="D53" s="452" t="s">
        <v>722</v>
      </c>
      <c r="E53" s="448" t="s">
        <v>682</v>
      </c>
      <c r="F53" s="448">
        <v>1</v>
      </c>
      <c r="G53" s="453">
        <f>77.79/1.2053*0.7679</f>
        <v>49.560226499626651</v>
      </c>
      <c r="H53" s="453">
        <f>F53*220</f>
        <v>220</v>
      </c>
      <c r="I53" s="454">
        <f>G53*H53</f>
        <v>10903.249829917862</v>
      </c>
    </row>
    <row r="54" spans="3:9" ht="23.1" customHeight="1">
      <c r="C54" s="448"/>
      <c r="D54" s="452" t="s">
        <v>723</v>
      </c>
      <c r="E54" s="448" t="s">
        <v>682</v>
      </c>
      <c r="F54" s="448"/>
      <c r="G54" s="453"/>
      <c r="H54" s="453"/>
      <c r="I54" s="454"/>
    </row>
    <row r="55" spans="3:9" ht="23.1" customHeight="1">
      <c r="C55" s="448"/>
      <c r="D55" s="452" t="s">
        <v>724</v>
      </c>
      <c r="E55" s="448" t="s">
        <v>682</v>
      </c>
      <c r="F55" s="448"/>
      <c r="G55" s="453"/>
      <c r="H55" s="453"/>
      <c r="I55" s="454"/>
    </row>
    <row r="56" spans="3:9" ht="23.1" customHeight="1">
      <c r="C56" s="448"/>
      <c r="D56" s="452" t="s">
        <v>725</v>
      </c>
      <c r="E56" s="448" t="s">
        <v>682</v>
      </c>
      <c r="F56" s="448"/>
      <c r="G56" s="453"/>
      <c r="H56" s="453"/>
      <c r="I56" s="454"/>
    </row>
    <row r="57" spans="3:9" ht="23.1" customHeight="1">
      <c r="C57" s="448"/>
      <c r="D57" s="452" t="s">
        <v>726</v>
      </c>
      <c r="E57" s="448" t="s">
        <v>682</v>
      </c>
      <c r="F57" s="448"/>
      <c r="G57" s="453"/>
      <c r="H57" s="453"/>
      <c r="I57" s="454"/>
    </row>
    <row r="58" spans="3:9" ht="23.1" customHeight="1">
      <c r="C58" s="448"/>
      <c r="D58" s="452" t="s">
        <v>727</v>
      </c>
      <c r="E58" s="448" t="s">
        <v>682</v>
      </c>
      <c r="F58" s="448"/>
      <c r="G58" s="453"/>
      <c r="H58" s="453"/>
      <c r="I58" s="454"/>
    </row>
    <row r="59" spans="3:9" ht="23.1" customHeight="1">
      <c r="C59" s="448" t="s">
        <v>732</v>
      </c>
      <c r="D59" s="452" t="s">
        <v>728</v>
      </c>
      <c r="E59" s="448" t="s">
        <v>682</v>
      </c>
      <c r="F59" s="448">
        <v>1</v>
      </c>
      <c r="G59" s="453">
        <f>27.38/1.2049*0.7674</f>
        <v>17.438303593659221</v>
      </c>
      <c r="H59" s="453">
        <f>F59*220</f>
        <v>220</v>
      </c>
      <c r="I59" s="454">
        <f>G59*H59</f>
        <v>3836.4267906050286</v>
      </c>
    </row>
    <row r="60" spans="3:9" ht="23.1" customHeight="1">
      <c r="C60" s="448"/>
      <c r="D60" s="452"/>
      <c r="E60" s="448"/>
      <c r="F60" s="448"/>
      <c r="G60" s="453"/>
      <c r="H60" s="453"/>
      <c r="I60" s="454"/>
    </row>
    <row r="61" spans="3:9" ht="23.1" customHeight="1">
      <c r="C61" s="771" t="s">
        <v>729</v>
      </c>
      <c r="D61" s="772"/>
      <c r="E61" s="772"/>
      <c r="F61" s="772"/>
      <c r="G61" s="772"/>
      <c r="H61" s="773"/>
      <c r="I61" s="454">
        <f>SUBTOTAL(9,I10:I60)</f>
        <v>53634.079426210061</v>
      </c>
    </row>
    <row r="62" spans="3:9" ht="7.5" customHeight="1">
      <c r="C62" s="457"/>
      <c r="D62" s="293"/>
      <c r="E62" s="457"/>
      <c r="F62" s="457"/>
      <c r="G62" s="457"/>
      <c r="H62" s="457"/>
      <c r="I62" s="457"/>
    </row>
    <row r="63" spans="3:9" ht="36" customHeight="1">
      <c r="C63" s="774" t="s">
        <v>730</v>
      </c>
      <c r="D63" s="774"/>
      <c r="E63" s="774"/>
      <c r="F63" s="774"/>
      <c r="G63" s="774"/>
      <c r="H63" s="774"/>
      <c r="I63" s="774"/>
    </row>
    <row r="64" spans="3:9" ht="24.95" customHeight="1">
      <c r="H64" s="458"/>
      <c r="I64" s="459"/>
    </row>
    <row r="65" spans="8:9" ht="24.95" customHeight="1">
      <c r="H65" s="458"/>
      <c r="I65" s="458"/>
    </row>
  </sheetData>
  <mergeCells count="6">
    <mergeCell ref="C6:I6"/>
    <mergeCell ref="C8:I8"/>
    <mergeCell ref="C9:I9"/>
    <mergeCell ref="C61:H61"/>
    <mergeCell ref="C63:I63"/>
    <mergeCell ref="C7:I7"/>
  </mergeCells>
  <conditionalFormatting sqref="C6:I7">
    <cfRule type="expression" dxfId="2" priority="3">
      <formula>$A6="z"</formula>
    </cfRule>
  </conditionalFormatting>
  <conditionalFormatting sqref="C8:C9">
    <cfRule type="expression" dxfId="1" priority="2">
      <formula>$A8="z"</formula>
    </cfRule>
  </conditionalFormatting>
  <conditionalFormatting sqref="C7">
    <cfRule type="expression" dxfId="0" priority="1">
      <formula>$A7="z"</formula>
    </cfRule>
  </conditionalFormatting>
  <printOptions horizontalCentered="1"/>
  <pageMargins left="0.23622047244094491" right="0.23622047244094491" top="0.74803149606299213" bottom="0.74803149606299213" header="0.31496062992125984" footer="0.31496062992125984"/>
  <pageSetup paperSize="9" scale="49" fitToHeight="4" orientation="portrait" r:id="rId1"/>
  <headerFooter alignWithMargins="0">
    <oddFooter>Página &amp;P de &amp;N</oddFooter>
  </headerFooter>
  <drawing r:id="rId2"/>
</worksheet>
</file>

<file path=xl/worksheets/sheet7.xml><?xml version="1.0" encoding="utf-8"?>
<worksheet xmlns="http://schemas.openxmlformats.org/spreadsheetml/2006/main" xmlns:r="http://schemas.openxmlformats.org/officeDocument/2006/relationships">
  <dimension ref="B2:V26"/>
  <sheetViews>
    <sheetView showGridLines="0" view="pageBreakPreview" zoomScale="55" zoomScaleNormal="85" zoomScaleSheetLayoutView="55" workbookViewId="0">
      <selection activeCell="Q6" sqref="Q6"/>
    </sheetView>
  </sheetViews>
  <sheetFormatPr defaultColWidth="11.42578125" defaultRowHeight="12.75"/>
  <cols>
    <col min="1" max="1" width="5.42578125" style="558" customWidth="1"/>
    <col min="2" max="2" width="1.42578125" style="558" customWidth="1"/>
    <col min="3" max="3" width="7.85546875" style="558" customWidth="1"/>
    <col min="4" max="6" width="11.42578125" style="558" customWidth="1"/>
    <col min="7" max="9" width="14.42578125" style="558" customWidth="1"/>
    <col min="10" max="10" width="25.7109375" style="578" customWidth="1"/>
    <col min="11" max="11" width="21.42578125" style="558" customWidth="1"/>
    <col min="12" max="12" width="25.7109375" style="578" customWidth="1"/>
    <col min="13" max="13" width="21.42578125" style="558" customWidth="1"/>
    <col min="14" max="14" width="25.7109375" style="578" customWidth="1"/>
    <col min="15" max="15" width="21.42578125" style="558" customWidth="1"/>
    <col min="16" max="16" width="2.28515625" style="558" customWidth="1"/>
    <col min="17" max="17" width="15.85546875" style="556" customWidth="1"/>
    <col min="18" max="18" width="11.85546875" style="556" customWidth="1"/>
    <col min="19" max="19" width="6.140625" style="557" customWidth="1"/>
    <col min="20" max="20" width="11.42578125" style="556" customWidth="1"/>
    <col min="21" max="21" width="14.28515625" style="556" bestFit="1" customWidth="1"/>
    <col min="22" max="22" width="11.42578125" style="556" bestFit="1" customWidth="1"/>
    <col min="23" max="257" width="11.42578125" style="558"/>
    <col min="258" max="258" width="5.42578125" style="558" customWidth="1"/>
    <col min="259" max="259" width="1.42578125" style="558" customWidth="1"/>
    <col min="260" max="260" width="7.85546875" style="558" customWidth="1"/>
    <col min="261" max="263" width="11.42578125" style="558" customWidth="1"/>
    <col min="264" max="266" width="14.42578125" style="558" customWidth="1"/>
    <col min="267" max="270" width="25.7109375" style="558" customWidth="1"/>
    <col min="271" max="271" width="21.42578125" style="558" customWidth="1"/>
    <col min="272" max="272" width="2.28515625" style="558" customWidth="1"/>
    <col min="273" max="273" width="15.85546875" style="558" customWidth="1"/>
    <col min="274" max="274" width="11.85546875" style="558" customWidth="1"/>
    <col min="275" max="275" width="6.140625" style="558" customWidth="1"/>
    <col min="276" max="276" width="11.42578125" style="558" customWidth="1"/>
    <col min="277" max="277" width="14.28515625" style="558" bestFit="1" customWidth="1"/>
    <col min="278" max="278" width="11.42578125" style="558" bestFit="1" customWidth="1"/>
    <col min="279" max="513" width="11.42578125" style="558"/>
    <col min="514" max="514" width="5.42578125" style="558" customWidth="1"/>
    <col min="515" max="515" width="1.42578125" style="558" customWidth="1"/>
    <col min="516" max="516" width="7.85546875" style="558" customWidth="1"/>
    <col min="517" max="519" width="11.42578125" style="558" customWidth="1"/>
    <col min="520" max="522" width="14.42578125" style="558" customWidth="1"/>
    <col min="523" max="526" width="25.7109375" style="558" customWidth="1"/>
    <col min="527" max="527" width="21.42578125" style="558" customWidth="1"/>
    <col min="528" max="528" width="2.28515625" style="558" customWidth="1"/>
    <col min="529" max="529" width="15.85546875" style="558" customWidth="1"/>
    <col min="530" max="530" width="11.85546875" style="558" customWidth="1"/>
    <col min="531" max="531" width="6.140625" style="558" customWidth="1"/>
    <col min="532" max="532" width="11.42578125" style="558" customWidth="1"/>
    <col min="533" max="533" width="14.28515625" style="558" bestFit="1" customWidth="1"/>
    <col min="534" max="534" width="11.42578125" style="558" bestFit="1" customWidth="1"/>
    <col min="535" max="769" width="11.42578125" style="558"/>
    <col min="770" max="770" width="5.42578125" style="558" customWidth="1"/>
    <col min="771" max="771" width="1.42578125" style="558" customWidth="1"/>
    <col min="772" max="772" width="7.85546875" style="558" customWidth="1"/>
    <col min="773" max="775" width="11.42578125" style="558" customWidth="1"/>
    <col min="776" max="778" width="14.42578125" style="558" customWidth="1"/>
    <col min="779" max="782" width="25.7109375" style="558" customWidth="1"/>
    <col min="783" max="783" width="21.42578125" style="558" customWidth="1"/>
    <col min="784" max="784" width="2.28515625" style="558" customWidth="1"/>
    <col min="785" max="785" width="15.85546875" style="558" customWidth="1"/>
    <col min="786" max="786" width="11.85546875" style="558" customWidth="1"/>
    <col min="787" max="787" width="6.140625" style="558" customWidth="1"/>
    <col min="788" max="788" width="11.42578125" style="558" customWidth="1"/>
    <col min="789" max="789" width="14.28515625" style="558" bestFit="1" customWidth="1"/>
    <col min="790" max="790" width="11.42578125" style="558" bestFit="1" customWidth="1"/>
    <col min="791" max="1025" width="11.42578125" style="558"/>
    <col min="1026" max="1026" width="5.42578125" style="558" customWidth="1"/>
    <col min="1027" max="1027" width="1.42578125" style="558" customWidth="1"/>
    <col min="1028" max="1028" width="7.85546875" style="558" customWidth="1"/>
    <col min="1029" max="1031" width="11.42578125" style="558" customWidth="1"/>
    <col min="1032" max="1034" width="14.42578125" style="558" customWidth="1"/>
    <col min="1035" max="1038" width="25.7109375" style="558" customWidth="1"/>
    <col min="1039" max="1039" width="21.42578125" style="558" customWidth="1"/>
    <col min="1040" max="1040" width="2.28515625" style="558" customWidth="1"/>
    <col min="1041" max="1041" width="15.85546875" style="558" customWidth="1"/>
    <col min="1042" max="1042" width="11.85546875" style="558" customWidth="1"/>
    <col min="1043" max="1043" width="6.140625" style="558" customWidth="1"/>
    <col min="1044" max="1044" width="11.42578125" style="558" customWidth="1"/>
    <col min="1045" max="1045" width="14.28515625" style="558" bestFit="1" customWidth="1"/>
    <col min="1046" max="1046" width="11.42578125" style="558" bestFit="1" customWidth="1"/>
    <col min="1047" max="1281" width="11.42578125" style="558"/>
    <col min="1282" max="1282" width="5.42578125" style="558" customWidth="1"/>
    <col min="1283" max="1283" width="1.42578125" style="558" customWidth="1"/>
    <col min="1284" max="1284" width="7.85546875" style="558" customWidth="1"/>
    <col min="1285" max="1287" width="11.42578125" style="558" customWidth="1"/>
    <col min="1288" max="1290" width="14.42578125" style="558" customWidth="1"/>
    <col min="1291" max="1294" width="25.7109375" style="558" customWidth="1"/>
    <col min="1295" max="1295" width="21.42578125" style="558" customWidth="1"/>
    <col min="1296" max="1296" width="2.28515625" style="558" customWidth="1"/>
    <col min="1297" max="1297" width="15.85546875" style="558" customWidth="1"/>
    <col min="1298" max="1298" width="11.85546875" style="558" customWidth="1"/>
    <col min="1299" max="1299" width="6.140625" style="558" customWidth="1"/>
    <col min="1300" max="1300" width="11.42578125" style="558" customWidth="1"/>
    <col min="1301" max="1301" width="14.28515625" style="558" bestFit="1" customWidth="1"/>
    <col min="1302" max="1302" width="11.42578125" style="558" bestFit="1" customWidth="1"/>
    <col min="1303" max="1537" width="11.42578125" style="558"/>
    <col min="1538" max="1538" width="5.42578125" style="558" customWidth="1"/>
    <col min="1539" max="1539" width="1.42578125" style="558" customWidth="1"/>
    <col min="1540" max="1540" width="7.85546875" style="558" customWidth="1"/>
    <col min="1541" max="1543" width="11.42578125" style="558" customWidth="1"/>
    <col min="1544" max="1546" width="14.42578125" style="558" customWidth="1"/>
    <col min="1547" max="1550" width="25.7109375" style="558" customWidth="1"/>
    <col min="1551" max="1551" width="21.42578125" style="558" customWidth="1"/>
    <col min="1552" max="1552" width="2.28515625" style="558" customWidth="1"/>
    <col min="1553" max="1553" width="15.85546875" style="558" customWidth="1"/>
    <col min="1554" max="1554" width="11.85546875" style="558" customWidth="1"/>
    <col min="1555" max="1555" width="6.140625" style="558" customWidth="1"/>
    <col min="1556" max="1556" width="11.42578125" style="558" customWidth="1"/>
    <col min="1557" max="1557" width="14.28515625" style="558" bestFit="1" customWidth="1"/>
    <col min="1558" max="1558" width="11.42578125" style="558" bestFit="1" customWidth="1"/>
    <col min="1559" max="1793" width="11.42578125" style="558"/>
    <col min="1794" max="1794" width="5.42578125" style="558" customWidth="1"/>
    <col min="1795" max="1795" width="1.42578125" style="558" customWidth="1"/>
    <col min="1796" max="1796" width="7.85546875" style="558" customWidth="1"/>
    <col min="1797" max="1799" width="11.42578125" style="558" customWidth="1"/>
    <col min="1800" max="1802" width="14.42578125" style="558" customWidth="1"/>
    <col min="1803" max="1806" width="25.7109375" style="558" customWidth="1"/>
    <col min="1807" max="1807" width="21.42578125" style="558" customWidth="1"/>
    <col min="1808" max="1808" width="2.28515625" style="558" customWidth="1"/>
    <col min="1809" max="1809" width="15.85546875" style="558" customWidth="1"/>
    <col min="1810" max="1810" width="11.85546875" style="558" customWidth="1"/>
    <col min="1811" max="1811" width="6.140625" style="558" customWidth="1"/>
    <col min="1812" max="1812" width="11.42578125" style="558" customWidth="1"/>
    <col min="1813" max="1813" width="14.28515625" style="558" bestFit="1" customWidth="1"/>
    <col min="1814" max="1814" width="11.42578125" style="558" bestFit="1" customWidth="1"/>
    <col min="1815" max="2049" width="11.42578125" style="558"/>
    <col min="2050" max="2050" width="5.42578125" style="558" customWidth="1"/>
    <col min="2051" max="2051" width="1.42578125" style="558" customWidth="1"/>
    <col min="2052" max="2052" width="7.85546875" style="558" customWidth="1"/>
    <col min="2053" max="2055" width="11.42578125" style="558" customWidth="1"/>
    <col min="2056" max="2058" width="14.42578125" style="558" customWidth="1"/>
    <col min="2059" max="2062" width="25.7109375" style="558" customWidth="1"/>
    <col min="2063" max="2063" width="21.42578125" style="558" customWidth="1"/>
    <col min="2064" max="2064" width="2.28515625" style="558" customWidth="1"/>
    <col min="2065" max="2065" width="15.85546875" style="558" customWidth="1"/>
    <col min="2066" max="2066" width="11.85546875" style="558" customWidth="1"/>
    <col min="2067" max="2067" width="6.140625" style="558" customWidth="1"/>
    <col min="2068" max="2068" width="11.42578125" style="558" customWidth="1"/>
    <col min="2069" max="2069" width="14.28515625" style="558" bestFit="1" customWidth="1"/>
    <col min="2070" max="2070" width="11.42578125" style="558" bestFit="1" customWidth="1"/>
    <col min="2071" max="2305" width="11.42578125" style="558"/>
    <col min="2306" max="2306" width="5.42578125" style="558" customWidth="1"/>
    <col min="2307" max="2307" width="1.42578125" style="558" customWidth="1"/>
    <col min="2308" max="2308" width="7.85546875" style="558" customWidth="1"/>
    <col min="2309" max="2311" width="11.42578125" style="558" customWidth="1"/>
    <col min="2312" max="2314" width="14.42578125" style="558" customWidth="1"/>
    <col min="2315" max="2318" width="25.7109375" style="558" customWidth="1"/>
    <col min="2319" max="2319" width="21.42578125" style="558" customWidth="1"/>
    <col min="2320" max="2320" width="2.28515625" style="558" customWidth="1"/>
    <col min="2321" max="2321" width="15.85546875" style="558" customWidth="1"/>
    <col min="2322" max="2322" width="11.85546875" style="558" customWidth="1"/>
    <col min="2323" max="2323" width="6.140625" style="558" customWidth="1"/>
    <col min="2324" max="2324" width="11.42578125" style="558" customWidth="1"/>
    <col min="2325" max="2325" width="14.28515625" style="558" bestFit="1" customWidth="1"/>
    <col min="2326" max="2326" width="11.42578125" style="558" bestFit="1" customWidth="1"/>
    <col min="2327" max="2561" width="11.42578125" style="558"/>
    <col min="2562" max="2562" width="5.42578125" style="558" customWidth="1"/>
    <col min="2563" max="2563" width="1.42578125" style="558" customWidth="1"/>
    <col min="2564" max="2564" width="7.85546875" style="558" customWidth="1"/>
    <col min="2565" max="2567" width="11.42578125" style="558" customWidth="1"/>
    <col min="2568" max="2570" width="14.42578125" style="558" customWidth="1"/>
    <col min="2571" max="2574" width="25.7109375" style="558" customWidth="1"/>
    <col min="2575" max="2575" width="21.42578125" style="558" customWidth="1"/>
    <col min="2576" max="2576" width="2.28515625" style="558" customWidth="1"/>
    <col min="2577" max="2577" width="15.85546875" style="558" customWidth="1"/>
    <col min="2578" max="2578" width="11.85546875" style="558" customWidth="1"/>
    <col min="2579" max="2579" width="6.140625" style="558" customWidth="1"/>
    <col min="2580" max="2580" width="11.42578125" style="558" customWidth="1"/>
    <col min="2581" max="2581" width="14.28515625" style="558" bestFit="1" customWidth="1"/>
    <col min="2582" max="2582" width="11.42578125" style="558" bestFit="1" customWidth="1"/>
    <col min="2583" max="2817" width="11.42578125" style="558"/>
    <col min="2818" max="2818" width="5.42578125" style="558" customWidth="1"/>
    <col min="2819" max="2819" width="1.42578125" style="558" customWidth="1"/>
    <col min="2820" max="2820" width="7.85546875" style="558" customWidth="1"/>
    <col min="2821" max="2823" width="11.42578125" style="558" customWidth="1"/>
    <col min="2824" max="2826" width="14.42578125" style="558" customWidth="1"/>
    <col min="2827" max="2830" width="25.7109375" style="558" customWidth="1"/>
    <col min="2831" max="2831" width="21.42578125" style="558" customWidth="1"/>
    <col min="2832" max="2832" width="2.28515625" style="558" customWidth="1"/>
    <col min="2833" max="2833" width="15.85546875" style="558" customWidth="1"/>
    <col min="2834" max="2834" width="11.85546875" style="558" customWidth="1"/>
    <col min="2835" max="2835" width="6.140625" style="558" customWidth="1"/>
    <col min="2836" max="2836" width="11.42578125" style="558" customWidth="1"/>
    <col min="2837" max="2837" width="14.28515625" style="558" bestFit="1" customWidth="1"/>
    <col min="2838" max="2838" width="11.42578125" style="558" bestFit="1" customWidth="1"/>
    <col min="2839" max="3073" width="11.42578125" style="558"/>
    <col min="3074" max="3074" width="5.42578125" style="558" customWidth="1"/>
    <col min="3075" max="3075" width="1.42578125" style="558" customWidth="1"/>
    <col min="3076" max="3076" width="7.85546875" style="558" customWidth="1"/>
    <col min="3077" max="3079" width="11.42578125" style="558" customWidth="1"/>
    <col min="3080" max="3082" width="14.42578125" style="558" customWidth="1"/>
    <col min="3083" max="3086" width="25.7109375" style="558" customWidth="1"/>
    <col min="3087" max="3087" width="21.42578125" style="558" customWidth="1"/>
    <col min="3088" max="3088" width="2.28515625" style="558" customWidth="1"/>
    <col min="3089" max="3089" width="15.85546875" style="558" customWidth="1"/>
    <col min="3090" max="3090" width="11.85546875" style="558" customWidth="1"/>
    <col min="3091" max="3091" width="6.140625" style="558" customWidth="1"/>
    <col min="3092" max="3092" width="11.42578125" style="558" customWidth="1"/>
    <col min="3093" max="3093" width="14.28515625" style="558" bestFit="1" customWidth="1"/>
    <col min="3094" max="3094" width="11.42578125" style="558" bestFit="1" customWidth="1"/>
    <col min="3095" max="3329" width="11.42578125" style="558"/>
    <col min="3330" max="3330" width="5.42578125" style="558" customWidth="1"/>
    <col min="3331" max="3331" width="1.42578125" style="558" customWidth="1"/>
    <col min="3332" max="3332" width="7.85546875" style="558" customWidth="1"/>
    <col min="3333" max="3335" width="11.42578125" style="558" customWidth="1"/>
    <col min="3336" max="3338" width="14.42578125" style="558" customWidth="1"/>
    <col min="3339" max="3342" width="25.7109375" style="558" customWidth="1"/>
    <col min="3343" max="3343" width="21.42578125" style="558" customWidth="1"/>
    <col min="3344" max="3344" width="2.28515625" style="558" customWidth="1"/>
    <col min="3345" max="3345" width="15.85546875" style="558" customWidth="1"/>
    <col min="3346" max="3346" width="11.85546875" style="558" customWidth="1"/>
    <col min="3347" max="3347" width="6.140625" style="558" customWidth="1"/>
    <col min="3348" max="3348" width="11.42578125" style="558" customWidth="1"/>
    <col min="3349" max="3349" width="14.28515625" style="558" bestFit="1" customWidth="1"/>
    <col min="3350" max="3350" width="11.42578125" style="558" bestFit="1" customWidth="1"/>
    <col min="3351" max="3585" width="11.42578125" style="558"/>
    <col min="3586" max="3586" width="5.42578125" style="558" customWidth="1"/>
    <col min="3587" max="3587" width="1.42578125" style="558" customWidth="1"/>
    <col min="3588" max="3588" width="7.85546875" style="558" customWidth="1"/>
    <col min="3589" max="3591" width="11.42578125" style="558" customWidth="1"/>
    <col min="3592" max="3594" width="14.42578125" style="558" customWidth="1"/>
    <col min="3595" max="3598" width="25.7109375" style="558" customWidth="1"/>
    <col min="3599" max="3599" width="21.42578125" style="558" customWidth="1"/>
    <col min="3600" max="3600" width="2.28515625" style="558" customWidth="1"/>
    <col min="3601" max="3601" width="15.85546875" style="558" customWidth="1"/>
    <col min="3602" max="3602" width="11.85546875" style="558" customWidth="1"/>
    <col min="3603" max="3603" width="6.140625" style="558" customWidth="1"/>
    <col min="3604" max="3604" width="11.42578125" style="558" customWidth="1"/>
    <col min="3605" max="3605" width="14.28515625" style="558" bestFit="1" customWidth="1"/>
    <col min="3606" max="3606" width="11.42578125" style="558" bestFit="1" customWidth="1"/>
    <col min="3607" max="3841" width="11.42578125" style="558"/>
    <col min="3842" max="3842" width="5.42578125" style="558" customWidth="1"/>
    <col min="3843" max="3843" width="1.42578125" style="558" customWidth="1"/>
    <col min="3844" max="3844" width="7.85546875" style="558" customWidth="1"/>
    <col min="3845" max="3847" width="11.42578125" style="558" customWidth="1"/>
    <col min="3848" max="3850" width="14.42578125" style="558" customWidth="1"/>
    <col min="3851" max="3854" width="25.7109375" style="558" customWidth="1"/>
    <col min="3855" max="3855" width="21.42578125" style="558" customWidth="1"/>
    <col min="3856" max="3856" width="2.28515625" style="558" customWidth="1"/>
    <col min="3857" max="3857" width="15.85546875" style="558" customWidth="1"/>
    <col min="3858" max="3858" width="11.85546875" style="558" customWidth="1"/>
    <col min="3859" max="3859" width="6.140625" style="558" customWidth="1"/>
    <col min="3860" max="3860" width="11.42578125" style="558" customWidth="1"/>
    <col min="3861" max="3861" width="14.28515625" style="558" bestFit="1" customWidth="1"/>
    <col min="3862" max="3862" width="11.42578125" style="558" bestFit="1" customWidth="1"/>
    <col min="3863" max="4097" width="11.42578125" style="558"/>
    <col min="4098" max="4098" width="5.42578125" style="558" customWidth="1"/>
    <col min="4099" max="4099" width="1.42578125" style="558" customWidth="1"/>
    <col min="4100" max="4100" width="7.85546875" style="558" customWidth="1"/>
    <col min="4101" max="4103" width="11.42578125" style="558" customWidth="1"/>
    <col min="4104" max="4106" width="14.42578125" style="558" customWidth="1"/>
    <col min="4107" max="4110" width="25.7109375" style="558" customWidth="1"/>
    <col min="4111" max="4111" width="21.42578125" style="558" customWidth="1"/>
    <col min="4112" max="4112" width="2.28515625" style="558" customWidth="1"/>
    <col min="4113" max="4113" width="15.85546875" style="558" customWidth="1"/>
    <col min="4114" max="4114" width="11.85546875" style="558" customWidth="1"/>
    <col min="4115" max="4115" width="6.140625" style="558" customWidth="1"/>
    <col min="4116" max="4116" width="11.42578125" style="558" customWidth="1"/>
    <col min="4117" max="4117" width="14.28515625" style="558" bestFit="1" customWidth="1"/>
    <col min="4118" max="4118" width="11.42578125" style="558" bestFit="1" customWidth="1"/>
    <col min="4119" max="4353" width="11.42578125" style="558"/>
    <col min="4354" max="4354" width="5.42578125" style="558" customWidth="1"/>
    <col min="4355" max="4355" width="1.42578125" style="558" customWidth="1"/>
    <col min="4356" max="4356" width="7.85546875" style="558" customWidth="1"/>
    <col min="4357" max="4359" width="11.42578125" style="558" customWidth="1"/>
    <col min="4360" max="4362" width="14.42578125" style="558" customWidth="1"/>
    <col min="4363" max="4366" width="25.7109375" style="558" customWidth="1"/>
    <col min="4367" max="4367" width="21.42578125" style="558" customWidth="1"/>
    <col min="4368" max="4368" width="2.28515625" style="558" customWidth="1"/>
    <col min="4369" max="4369" width="15.85546875" style="558" customWidth="1"/>
    <col min="4370" max="4370" width="11.85546875" style="558" customWidth="1"/>
    <col min="4371" max="4371" width="6.140625" style="558" customWidth="1"/>
    <col min="4372" max="4372" width="11.42578125" style="558" customWidth="1"/>
    <col min="4373" max="4373" width="14.28515625" style="558" bestFit="1" customWidth="1"/>
    <col min="4374" max="4374" width="11.42578125" style="558" bestFit="1" customWidth="1"/>
    <col min="4375" max="4609" width="11.42578125" style="558"/>
    <col min="4610" max="4610" width="5.42578125" style="558" customWidth="1"/>
    <col min="4611" max="4611" width="1.42578125" style="558" customWidth="1"/>
    <col min="4612" max="4612" width="7.85546875" style="558" customWidth="1"/>
    <col min="4613" max="4615" width="11.42578125" style="558" customWidth="1"/>
    <col min="4616" max="4618" width="14.42578125" style="558" customWidth="1"/>
    <col min="4619" max="4622" width="25.7109375" style="558" customWidth="1"/>
    <col min="4623" max="4623" width="21.42578125" style="558" customWidth="1"/>
    <col min="4624" max="4624" width="2.28515625" style="558" customWidth="1"/>
    <col min="4625" max="4625" width="15.85546875" style="558" customWidth="1"/>
    <col min="4626" max="4626" width="11.85546875" style="558" customWidth="1"/>
    <col min="4627" max="4627" width="6.140625" style="558" customWidth="1"/>
    <col min="4628" max="4628" width="11.42578125" style="558" customWidth="1"/>
    <col min="4629" max="4629" width="14.28515625" style="558" bestFit="1" customWidth="1"/>
    <col min="4630" max="4630" width="11.42578125" style="558" bestFit="1" customWidth="1"/>
    <col min="4631" max="4865" width="11.42578125" style="558"/>
    <col min="4866" max="4866" width="5.42578125" style="558" customWidth="1"/>
    <col min="4867" max="4867" width="1.42578125" style="558" customWidth="1"/>
    <col min="4868" max="4868" width="7.85546875" style="558" customWidth="1"/>
    <col min="4869" max="4871" width="11.42578125" style="558" customWidth="1"/>
    <col min="4872" max="4874" width="14.42578125" style="558" customWidth="1"/>
    <col min="4875" max="4878" width="25.7109375" style="558" customWidth="1"/>
    <col min="4879" max="4879" width="21.42578125" style="558" customWidth="1"/>
    <col min="4880" max="4880" width="2.28515625" style="558" customWidth="1"/>
    <col min="4881" max="4881" width="15.85546875" style="558" customWidth="1"/>
    <col min="4882" max="4882" width="11.85546875" style="558" customWidth="1"/>
    <col min="4883" max="4883" width="6.140625" style="558" customWidth="1"/>
    <col min="4884" max="4884" width="11.42578125" style="558" customWidth="1"/>
    <col min="4885" max="4885" width="14.28515625" style="558" bestFit="1" customWidth="1"/>
    <col min="4886" max="4886" width="11.42578125" style="558" bestFit="1" customWidth="1"/>
    <col min="4887" max="5121" width="11.42578125" style="558"/>
    <col min="5122" max="5122" width="5.42578125" style="558" customWidth="1"/>
    <col min="5123" max="5123" width="1.42578125" style="558" customWidth="1"/>
    <col min="5124" max="5124" width="7.85546875" style="558" customWidth="1"/>
    <col min="5125" max="5127" width="11.42578125" style="558" customWidth="1"/>
    <col min="5128" max="5130" width="14.42578125" style="558" customWidth="1"/>
    <col min="5131" max="5134" width="25.7109375" style="558" customWidth="1"/>
    <col min="5135" max="5135" width="21.42578125" style="558" customWidth="1"/>
    <col min="5136" max="5136" width="2.28515625" style="558" customWidth="1"/>
    <col min="5137" max="5137" width="15.85546875" style="558" customWidth="1"/>
    <col min="5138" max="5138" width="11.85546875" style="558" customWidth="1"/>
    <col min="5139" max="5139" width="6.140625" style="558" customWidth="1"/>
    <col min="5140" max="5140" width="11.42578125" style="558" customWidth="1"/>
    <col min="5141" max="5141" width="14.28515625" style="558" bestFit="1" customWidth="1"/>
    <col min="5142" max="5142" width="11.42578125" style="558" bestFit="1" customWidth="1"/>
    <col min="5143" max="5377" width="11.42578125" style="558"/>
    <col min="5378" max="5378" width="5.42578125" style="558" customWidth="1"/>
    <col min="5379" max="5379" width="1.42578125" style="558" customWidth="1"/>
    <col min="5380" max="5380" width="7.85546875" style="558" customWidth="1"/>
    <col min="5381" max="5383" width="11.42578125" style="558" customWidth="1"/>
    <col min="5384" max="5386" width="14.42578125" style="558" customWidth="1"/>
    <col min="5387" max="5390" width="25.7109375" style="558" customWidth="1"/>
    <col min="5391" max="5391" width="21.42578125" style="558" customWidth="1"/>
    <col min="5392" max="5392" width="2.28515625" style="558" customWidth="1"/>
    <col min="5393" max="5393" width="15.85546875" style="558" customWidth="1"/>
    <col min="5394" max="5394" width="11.85546875" style="558" customWidth="1"/>
    <col min="5395" max="5395" width="6.140625" style="558" customWidth="1"/>
    <col min="5396" max="5396" width="11.42578125" style="558" customWidth="1"/>
    <col min="5397" max="5397" width="14.28515625" style="558" bestFit="1" customWidth="1"/>
    <col min="5398" max="5398" width="11.42578125" style="558" bestFit="1" customWidth="1"/>
    <col min="5399" max="5633" width="11.42578125" style="558"/>
    <col min="5634" max="5634" width="5.42578125" style="558" customWidth="1"/>
    <col min="5635" max="5635" width="1.42578125" style="558" customWidth="1"/>
    <col min="5636" max="5636" width="7.85546875" style="558" customWidth="1"/>
    <col min="5637" max="5639" width="11.42578125" style="558" customWidth="1"/>
    <col min="5640" max="5642" width="14.42578125" style="558" customWidth="1"/>
    <col min="5643" max="5646" width="25.7109375" style="558" customWidth="1"/>
    <col min="5647" max="5647" width="21.42578125" style="558" customWidth="1"/>
    <col min="5648" max="5648" width="2.28515625" style="558" customWidth="1"/>
    <col min="5649" max="5649" width="15.85546875" style="558" customWidth="1"/>
    <col min="5650" max="5650" width="11.85546875" style="558" customWidth="1"/>
    <col min="5651" max="5651" width="6.140625" style="558" customWidth="1"/>
    <col min="5652" max="5652" width="11.42578125" style="558" customWidth="1"/>
    <col min="5653" max="5653" width="14.28515625" style="558" bestFit="1" customWidth="1"/>
    <col min="5654" max="5654" width="11.42578125" style="558" bestFit="1" customWidth="1"/>
    <col min="5655" max="5889" width="11.42578125" style="558"/>
    <col min="5890" max="5890" width="5.42578125" style="558" customWidth="1"/>
    <col min="5891" max="5891" width="1.42578125" style="558" customWidth="1"/>
    <col min="5892" max="5892" width="7.85546875" style="558" customWidth="1"/>
    <col min="5893" max="5895" width="11.42578125" style="558" customWidth="1"/>
    <col min="5896" max="5898" width="14.42578125" style="558" customWidth="1"/>
    <col min="5899" max="5902" width="25.7109375" style="558" customWidth="1"/>
    <col min="5903" max="5903" width="21.42578125" style="558" customWidth="1"/>
    <col min="5904" max="5904" width="2.28515625" style="558" customWidth="1"/>
    <col min="5905" max="5905" width="15.85546875" style="558" customWidth="1"/>
    <col min="5906" max="5906" width="11.85546875" style="558" customWidth="1"/>
    <col min="5907" max="5907" width="6.140625" style="558" customWidth="1"/>
    <col min="5908" max="5908" width="11.42578125" style="558" customWidth="1"/>
    <col min="5909" max="5909" width="14.28515625" style="558" bestFit="1" customWidth="1"/>
    <col min="5910" max="5910" width="11.42578125" style="558" bestFit="1" customWidth="1"/>
    <col min="5911" max="6145" width="11.42578125" style="558"/>
    <col min="6146" max="6146" width="5.42578125" style="558" customWidth="1"/>
    <col min="6147" max="6147" width="1.42578125" style="558" customWidth="1"/>
    <col min="6148" max="6148" width="7.85546875" style="558" customWidth="1"/>
    <col min="6149" max="6151" width="11.42578125" style="558" customWidth="1"/>
    <col min="6152" max="6154" width="14.42578125" style="558" customWidth="1"/>
    <col min="6155" max="6158" width="25.7109375" style="558" customWidth="1"/>
    <col min="6159" max="6159" width="21.42578125" style="558" customWidth="1"/>
    <col min="6160" max="6160" width="2.28515625" style="558" customWidth="1"/>
    <col min="6161" max="6161" width="15.85546875" style="558" customWidth="1"/>
    <col min="6162" max="6162" width="11.85546875" style="558" customWidth="1"/>
    <col min="6163" max="6163" width="6.140625" style="558" customWidth="1"/>
    <col min="6164" max="6164" width="11.42578125" style="558" customWidth="1"/>
    <col min="6165" max="6165" width="14.28515625" style="558" bestFit="1" customWidth="1"/>
    <col min="6166" max="6166" width="11.42578125" style="558" bestFit="1" customWidth="1"/>
    <col min="6167" max="6401" width="11.42578125" style="558"/>
    <col min="6402" max="6402" width="5.42578125" style="558" customWidth="1"/>
    <col min="6403" max="6403" width="1.42578125" style="558" customWidth="1"/>
    <col min="6404" max="6404" width="7.85546875" style="558" customWidth="1"/>
    <col min="6405" max="6407" width="11.42578125" style="558" customWidth="1"/>
    <col min="6408" max="6410" width="14.42578125" style="558" customWidth="1"/>
    <col min="6411" max="6414" width="25.7109375" style="558" customWidth="1"/>
    <col min="6415" max="6415" width="21.42578125" style="558" customWidth="1"/>
    <col min="6416" max="6416" width="2.28515625" style="558" customWidth="1"/>
    <col min="6417" max="6417" width="15.85546875" style="558" customWidth="1"/>
    <col min="6418" max="6418" width="11.85546875" style="558" customWidth="1"/>
    <col min="6419" max="6419" width="6.140625" style="558" customWidth="1"/>
    <col min="6420" max="6420" width="11.42578125" style="558" customWidth="1"/>
    <col min="6421" max="6421" width="14.28515625" style="558" bestFit="1" customWidth="1"/>
    <col min="6422" max="6422" width="11.42578125" style="558" bestFit="1" customWidth="1"/>
    <col min="6423" max="6657" width="11.42578125" style="558"/>
    <col min="6658" max="6658" width="5.42578125" style="558" customWidth="1"/>
    <col min="6659" max="6659" width="1.42578125" style="558" customWidth="1"/>
    <col min="6660" max="6660" width="7.85546875" style="558" customWidth="1"/>
    <col min="6661" max="6663" width="11.42578125" style="558" customWidth="1"/>
    <col min="6664" max="6666" width="14.42578125" style="558" customWidth="1"/>
    <col min="6667" max="6670" width="25.7109375" style="558" customWidth="1"/>
    <col min="6671" max="6671" width="21.42578125" style="558" customWidth="1"/>
    <col min="6672" max="6672" width="2.28515625" style="558" customWidth="1"/>
    <col min="6673" max="6673" width="15.85546875" style="558" customWidth="1"/>
    <col min="6674" max="6674" width="11.85546875" style="558" customWidth="1"/>
    <col min="6675" max="6675" width="6.140625" style="558" customWidth="1"/>
    <col min="6676" max="6676" width="11.42578125" style="558" customWidth="1"/>
    <col min="6677" max="6677" width="14.28515625" style="558" bestFit="1" customWidth="1"/>
    <col min="6678" max="6678" width="11.42578125" style="558" bestFit="1" customWidth="1"/>
    <col min="6679" max="6913" width="11.42578125" style="558"/>
    <col min="6914" max="6914" width="5.42578125" style="558" customWidth="1"/>
    <col min="6915" max="6915" width="1.42578125" style="558" customWidth="1"/>
    <col min="6916" max="6916" width="7.85546875" style="558" customWidth="1"/>
    <col min="6917" max="6919" width="11.42578125" style="558" customWidth="1"/>
    <col min="6920" max="6922" width="14.42578125" style="558" customWidth="1"/>
    <col min="6923" max="6926" width="25.7109375" style="558" customWidth="1"/>
    <col min="6927" max="6927" width="21.42578125" style="558" customWidth="1"/>
    <col min="6928" max="6928" width="2.28515625" style="558" customWidth="1"/>
    <col min="6929" max="6929" width="15.85546875" style="558" customWidth="1"/>
    <col min="6930" max="6930" width="11.85546875" style="558" customWidth="1"/>
    <col min="6931" max="6931" width="6.140625" style="558" customWidth="1"/>
    <col min="6932" max="6932" width="11.42578125" style="558" customWidth="1"/>
    <col min="6933" max="6933" width="14.28515625" style="558" bestFit="1" customWidth="1"/>
    <col min="6934" max="6934" width="11.42578125" style="558" bestFit="1" customWidth="1"/>
    <col min="6935" max="7169" width="11.42578125" style="558"/>
    <col min="7170" max="7170" width="5.42578125" style="558" customWidth="1"/>
    <col min="7171" max="7171" width="1.42578125" style="558" customWidth="1"/>
    <col min="7172" max="7172" width="7.85546875" style="558" customWidth="1"/>
    <col min="7173" max="7175" width="11.42578125" style="558" customWidth="1"/>
    <col min="7176" max="7178" width="14.42578125" style="558" customWidth="1"/>
    <col min="7179" max="7182" width="25.7109375" style="558" customWidth="1"/>
    <col min="7183" max="7183" width="21.42578125" style="558" customWidth="1"/>
    <col min="7184" max="7184" width="2.28515625" style="558" customWidth="1"/>
    <col min="7185" max="7185" width="15.85546875" style="558" customWidth="1"/>
    <col min="7186" max="7186" width="11.85546875" style="558" customWidth="1"/>
    <col min="7187" max="7187" width="6.140625" style="558" customWidth="1"/>
    <col min="7188" max="7188" width="11.42578125" style="558" customWidth="1"/>
    <col min="7189" max="7189" width="14.28515625" style="558" bestFit="1" customWidth="1"/>
    <col min="7190" max="7190" width="11.42578125" style="558" bestFit="1" customWidth="1"/>
    <col min="7191" max="7425" width="11.42578125" style="558"/>
    <col min="7426" max="7426" width="5.42578125" style="558" customWidth="1"/>
    <col min="7427" max="7427" width="1.42578125" style="558" customWidth="1"/>
    <col min="7428" max="7428" width="7.85546875" style="558" customWidth="1"/>
    <col min="7429" max="7431" width="11.42578125" style="558" customWidth="1"/>
    <col min="7432" max="7434" width="14.42578125" style="558" customWidth="1"/>
    <col min="7435" max="7438" width="25.7109375" style="558" customWidth="1"/>
    <col min="7439" max="7439" width="21.42578125" style="558" customWidth="1"/>
    <col min="7440" max="7440" width="2.28515625" style="558" customWidth="1"/>
    <col min="7441" max="7441" width="15.85546875" style="558" customWidth="1"/>
    <col min="7442" max="7442" width="11.85546875" style="558" customWidth="1"/>
    <col min="7443" max="7443" width="6.140625" style="558" customWidth="1"/>
    <col min="7444" max="7444" width="11.42578125" style="558" customWidth="1"/>
    <col min="7445" max="7445" width="14.28515625" style="558" bestFit="1" customWidth="1"/>
    <col min="7446" max="7446" width="11.42578125" style="558" bestFit="1" customWidth="1"/>
    <col min="7447" max="7681" width="11.42578125" style="558"/>
    <col min="7682" max="7682" width="5.42578125" style="558" customWidth="1"/>
    <col min="7683" max="7683" width="1.42578125" style="558" customWidth="1"/>
    <col min="7684" max="7684" width="7.85546875" style="558" customWidth="1"/>
    <col min="7685" max="7687" width="11.42578125" style="558" customWidth="1"/>
    <col min="7688" max="7690" width="14.42578125" style="558" customWidth="1"/>
    <col min="7691" max="7694" width="25.7109375" style="558" customWidth="1"/>
    <col min="7695" max="7695" width="21.42578125" style="558" customWidth="1"/>
    <col min="7696" max="7696" width="2.28515625" style="558" customWidth="1"/>
    <col min="7697" max="7697" width="15.85546875" style="558" customWidth="1"/>
    <col min="7698" max="7698" width="11.85546875" style="558" customWidth="1"/>
    <col min="7699" max="7699" width="6.140625" style="558" customWidth="1"/>
    <col min="7700" max="7700" width="11.42578125" style="558" customWidth="1"/>
    <col min="7701" max="7701" width="14.28515625" style="558" bestFit="1" customWidth="1"/>
    <col min="7702" max="7702" width="11.42578125" style="558" bestFit="1" customWidth="1"/>
    <col min="7703" max="7937" width="11.42578125" style="558"/>
    <col min="7938" max="7938" width="5.42578125" style="558" customWidth="1"/>
    <col min="7939" max="7939" width="1.42578125" style="558" customWidth="1"/>
    <col min="7940" max="7940" width="7.85546875" style="558" customWidth="1"/>
    <col min="7941" max="7943" width="11.42578125" style="558" customWidth="1"/>
    <col min="7944" max="7946" width="14.42578125" style="558" customWidth="1"/>
    <col min="7947" max="7950" width="25.7109375" style="558" customWidth="1"/>
    <col min="7951" max="7951" width="21.42578125" style="558" customWidth="1"/>
    <col min="7952" max="7952" width="2.28515625" style="558" customWidth="1"/>
    <col min="7953" max="7953" width="15.85546875" style="558" customWidth="1"/>
    <col min="7954" max="7954" width="11.85546875" style="558" customWidth="1"/>
    <col min="7955" max="7955" width="6.140625" style="558" customWidth="1"/>
    <col min="7956" max="7956" width="11.42578125" style="558" customWidth="1"/>
    <col min="7957" max="7957" width="14.28515625" style="558" bestFit="1" customWidth="1"/>
    <col min="7958" max="7958" width="11.42578125" style="558" bestFit="1" customWidth="1"/>
    <col min="7959" max="8193" width="11.42578125" style="558"/>
    <col min="8194" max="8194" width="5.42578125" style="558" customWidth="1"/>
    <col min="8195" max="8195" width="1.42578125" style="558" customWidth="1"/>
    <col min="8196" max="8196" width="7.85546875" style="558" customWidth="1"/>
    <col min="8197" max="8199" width="11.42578125" style="558" customWidth="1"/>
    <col min="8200" max="8202" width="14.42578125" style="558" customWidth="1"/>
    <col min="8203" max="8206" width="25.7109375" style="558" customWidth="1"/>
    <col min="8207" max="8207" width="21.42578125" style="558" customWidth="1"/>
    <col min="8208" max="8208" width="2.28515625" style="558" customWidth="1"/>
    <col min="8209" max="8209" width="15.85546875" style="558" customWidth="1"/>
    <col min="8210" max="8210" width="11.85546875" style="558" customWidth="1"/>
    <col min="8211" max="8211" width="6.140625" style="558" customWidth="1"/>
    <col min="8212" max="8212" width="11.42578125" style="558" customWidth="1"/>
    <col min="8213" max="8213" width="14.28515625" style="558" bestFit="1" customWidth="1"/>
    <col min="8214" max="8214" width="11.42578125" style="558" bestFit="1" customWidth="1"/>
    <col min="8215" max="8449" width="11.42578125" style="558"/>
    <col min="8450" max="8450" width="5.42578125" style="558" customWidth="1"/>
    <col min="8451" max="8451" width="1.42578125" style="558" customWidth="1"/>
    <col min="8452" max="8452" width="7.85546875" style="558" customWidth="1"/>
    <col min="8453" max="8455" width="11.42578125" style="558" customWidth="1"/>
    <col min="8456" max="8458" width="14.42578125" style="558" customWidth="1"/>
    <col min="8459" max="8462" width="25.7109375" style="558" customWidth="1"/>
    <col min="8463" max="8463" width="21.42578125" style="558" customWidth="1"/>
    <col min="8464" max="8464" width="2.28515625" style="558" customWidth="1"/>
    <col min="8465" max="8465" width="15.85546875" style="558" customWidth="1"/>
    <col min="8466" max="8466" width="11.85546875" style="558" customWidth="1"/>
    <col min="8467" max="8467" width="6.140625" style="558" customWidth="1"/>
    <col min="8468" max="8468" width="11.42578125" style="558" customWidth="1"/>
    <col min="8469" max="8469" width="14.28515625" style="558" bestFit="1" customWidth="1"/>
    <col min="8470" max="8470" width="11.42578125" style="558" bestFit="1" customWidth="1"/>
    <col min="8471" max="8705" width="11.42578125" style="558"/>
    <col min="8706" max="8706" width="5.42578125" style="558" customWidth="1"/>
    <col min="8707" max="8707" width="1.42578125" style="558" customWidth="1"/>
    <col min="8708" max="8708" width="7.85546875" style="558" customWidth="1"/>
    <col min="8709" max="8711" width="11.42578125" style="558" customWidth="1"/>
    <col min="8712" max="8714" width="14.42578125" style="558" customWidth="1"/>
    <col min="8715" max="8718" width="25.7109375" style="558" customWidth="1"/>
    <col min="8719" max="8719" width="21.42578125" style="558" customWidth="1"/>
    <col min="8720" max="8720" width="2.28515625" style="558" customWidth="1"/>
    <col min="8721" max="8721" width="15.85546875" style="558" customWidth="1"/>
    <col min="8722" max="8722" width="11.85546875" style="558" customWidth="1"/>
    <col min="8723" max="8723" width="6.140625" style="558" customWidth="1"/>
    <col min="8724" max="8724" width="11.42578125" style="558" customWidth="1"/>
    <col min="8725" max="8725" width="14.28515625" style="558" bestFit="1" customWidth="1"/>
    <col min="8726" max="8726" width="11.42578125" style="558" bestFit="1" customWidth="1"/>
    <col min="8727" max="8961" width="11.42578125" style="558"/>
    <col min="8962" max="8962" width="5.42578125" style="558" customWidth="1"/>
    <col min="8963" max="8963" width="1.42578125" style="558" customWidth="1"/>
    <col min="8964" max="8964" width="7.85546875" style="558" customWidth="1"/>
    <col min="8965" max="8967" width="11.42578125" style="558" customWidth="1"/>
    <col min="8968" max="8970" width="14.42578125" style="558" customWidth="1"/>
    <col min="8971" max="8974" width="25.7109375" style="558" customWidth="1"/>
    <col min="8975" max="8975" width="21.42578125" style="558" customWidth="1"/>
    <col min="8976" max="8976" width="2.28515625" style="558" customWidth="1"/>
    <col min="8977" max="8977" width="15.85546875" style="558" customWidth="1"/>
    <col min="8978" max="8978" width="11.85546875" style="558" customWidth="1"/>
    <col min="8979" max="8979" width="6.140625" style="558" customWidth="1"/>
    <col min="8980" max="8980" width="11.42578125" style="558" customWidth="1"/>
    <col min="8981" max="8981" width="14.28515625" style="558" bestFit="1" customWidth="1"/>
    <col min="8982" max="8982" width="11.42578125" style="558" bestFit="1" customWidth="1"/>
    <col min="8983" max="9217" width="11.42578125" style="558"/>
    <col min="9218" max="9218" width="5.42578125" style="558" customWidth="1"/>
    <col min="9219" max="9219" width="1.42578125" style="558" customWidth="1"/>
    <col min="9220" max="9220" width="7.85546875" style="558" customWidth="1"/>
    <col min="9221" max="9223" width="11.42578125" style="558" customWidth="1"/>
    <col min="9224" max="9226" width="14.42578125" style="558" customWidth="1"/>
    <col min="9227" max="9230" width="25.7109375" style="558" customWidth="1"/>
    <col min="9231" max="9231" width="21.42578125" style="558" customWidth="1"/>
    <col min="9232" max="9232" width="2.28515625" style="558" customWidth="1"/>
    <col min="9233" max="9233" width="15.85546875" style="558" customWidth="1"/>
    <col min="9234" max="9234" width="11.85546875" style="558" customWidth="1"/>
    <col min="9235" max="9235" width="6.140625" style="558" customWidth="1"/>
    <col min="9236" max="9236" width="11.42578125" style="558" customWidth="1"/>
    <col min="9237" max="9237" width="14.28515625" style="558" bestFit="1" customWidth="1"/>
    <col min="9238" max="9238" width="11.42578125" style="558" bestFit="1" customWidth="1"/>
    <col min="9239" max="9473" width="11.42578125" style="558"/>
    <col min="9474" max="9474" width="5.42578125" style="558" customWidth="1"/>
    <col min="9475" max="9475" width="1.42578125" style="558" customWidth="1"/>
    <col min="9476" max="9476" width="7.85546875" style="558" customWidth="1"/>
    <col min="9477" max="9479" width="11.42578125" style="558" customWidth="1"/>
    <col min="9480" max="9482" width="14.42578125" style="558" customWidth="1"/>
    <col min="9483" max="9486" width="25.7109375" style="558" customWidth="1"/>
    <col min="9487" max="9487" width="21.42578125" style="558" customWidth="1"/>
    <col min="9488" max="9488" width="2.28515625" style="558" customWidth="1"/>
    <col min="9489" max="9489" width="15.85546875" style="558" customWidth="1"/>
    <col min="9490" max="9490" width="11.85546875" style="558" customWidth="1"/>
    <col min="9491" max="9491" width="6.140625" style="558" customWidth="1"/>
    <col min="9492" max="9492" width="11.42578125" style="558" customWidth="1"/>
    <col min="9493" max="9493" width="14.28515625" style="558" bestFit="1" customWidth="1"/>
    <col min="9494" max="9494" width="11.42578125" style="558" bestFit="1" customWidth="1"/>
    <col min="9495" max="9729" width="11.42578125" style="558"/>
    <col min="9730" max="9730" width="5.42578125" style="558" customWidth="1"/>
    <col min="9731" max="9731" width="1.42578125" style="558" customWidth="1"/>
    <col min="9732" max="9732" width="7.85546875" style="558" customWidth="1"/>
    <col min="9733" max="9735" width="11.42578125" style="558" customWidth="1"/>
    <col min="9736" max="9738" width="14.42578125" style="558" customWidth="1"/>
    <col min="9739" max="9742" width="25.7109375" style="558" customWidth="1"/>
    <col min="9743" max="9743" width="21.42578125" style="558" customWidth="1"/>
    <col min="9744" max="9744" width="2.28515625" style="558" customWidth="1"/>
    <col min="9745" max="9745" width="15.85546875" style="558" customWidth="1"/>
    <col min="9746" max="9746" width="11.85546875" style="558" customWidth="1"/>
    <col min="9747" max="9747" width="6.140625" style="558" customWidth="1"/>
    <col min="9748" max="9748" width="11.42578125" style="558" customWidth="1"/>
    <col min="9749" max="9749" width="14.28515625" style="558" bestFit="1" customWidth="1"/>
    <col min="9750" max="9750" width="11.42578125" style="558" bestFit="1" customWidth="1"/>
    <col min="9751" max="9985" width="11.42578125" style="558"/>
    <col min="9986" max="9986" width="5.42578125" style="558" customWidth="1"/>
    <col min="9987" max="9987" width="1.42578125" style="558" customWidth="1"/>
    <col min="9988" max="9988" width="7.85546875" style="558" customWidth="1"/>
    <col min="9989" max="9991" width="11.42578125" style="558" customWidth="1"/>
    <col min="9992" max="9994" width="14.42578125" style="558" customWidth="1"/>
    <col min="9995" max="9998" width="25.7109375" style="558" customWidth="1"/>
    <col min="9999" max="9999" width="21.42578125" style="558" customWidth="1"/>
    <col min="10000" max="10000" width="2.28515625" style="558" customWidth="1"/>
    <col min="10001" max="10001" width="15.85546875" style="558" customWidth="1"/>
    <col min="10002" max="10002" width="11.85546875" style="558" customWidth="1"/>
    <col min="10003" max="10003" width="6.140625" style="558" customWidth="1"/>
    <col min="10004" max="10004" width="11.42578125" style="558" customWidth="1"/>
    <col min="10005" max="10005" width="14.28515625" style="558" bestFit="1" customWidth="1"/>
    <col min="10006" max="10006" width="11.42578125" style="558" bestFit="1" customWidth="1"/>
    <col min="10007" max="10241" width="11.42578125" style="558"/>
    <col min="10242" max="10242" width="5.42578125" style="558" customWidth="1"/>
    <col min="10243" max="10243" width="1.42578125" style="558" customWidth="1"/>
    <col min="10244" max="10244" width="7.85546875" style="558" customWidth="1"/>
    <col min="10245" max="10247" width="11.42578125" style="558" customWidth="1"/>
    <col min="10248" max="10250" width="14.42578125" style="558" customWidth="1"/>
    <col min="10251" max="10254" width="25.7109375" style="558" customWidth="1"/>
    <col min="10255" max="10255" width="21.42578125" style="558" customWidth="1"/>
    <col min="10256" max="10256" width="2.28515625" style="558" customWidth="1"/>
    <col min="10257" max="10257" width="15.85546875" style="558" customWidth="1"/>
    <col min="10258" max="10258" width="11.85546875" style="558" customWidth="1"/>
    <col min="10259" max="10259" width="6.140625" style="558" customWidth="1"/>
    <col min="10260" max="10260" width="11.42578125" style="558" customWidth="1"/>
    <col min="10261" max="10261" width="14.28515625" style="558" bestFit="1" customWidth="1"/>
    <col min="10262" max="10262" width="11.42578125" style="558" bestFit="1" customWidth="1"/>
    <col min="10263" max="10497" width="11.42578125" style="558"/>
    <col min="10498" max="10498" width="5.42578125" style="558" customWidth="1"/>
    <col min="10499" max="10499" width="1.42578125" style="558" customWidth="1"/>
    <col min="10500" max="10500" width="7.85546875" style="558" customWidth="1"/>
    <col min="10501" max="10503" width="11.42578125" style="558" customWidth="1"/>
    <col min="10504" max="10506" width="14.42578125" style="558" customWidth="1"/>
    <col min="10507" max="10510" width="25.7109375" style="558" customWidth="1"/>
    <col min="10511" max="10511" width="21.42578125" style="558" customWidth="1"/>
    <col min="10512" max="10512" width="2.28515625" style="558" customWidth="1"/>
    <col min="10513" max="10513" width="15.85546875" style="558" customWidth="1"/>
    <col min="10514" max="10514" width="11.85546875" style="558" customWidth="1"/>
    <col min="10515" max="10515" width="6.140625" style="558" customWidth="1"/>
    <col min="10516" max="10516" width="11.42578125" style="558" customWidth="1"/>
    <col min="10517" max="10517" width="14.28515625" style="558" bestFit="1" customWidth="1"/>
    <col min="10518" max="10518" width="11.42578125" style="558" bestFit="1" customWidth="1"/>
    <col min="10519" max="10753" width="11.42578125" style="558"/>
    <col min="10754" max="10754" width="5.42578125" style="558" customWidth="1"/>
    <col min="10755" max="10755" width="1.42578125" style="558" customWidth="1"/>
    <col min="10756" max="10756" width="7.85546875" style="558" customWidth="1"/>
    <col min="10757" max="10759" width="11.42578125" style="558" customWidth="1"/>
    <col min="10760" max="10762" width="14.42578125" style="558" customWidth="1"/>
    <col min="10763" max="10766" width="25.7109375" style="558" customWidth="1"/>
    <col min="10767" max="10767" width="21.42578125" style="558" customWidth="1"/>
    <col min="10768" max="10768" width="2.28515625" style="558" customWidth="1"/>
    <col min="10769" max="10769" width="15.85546875" style="558" customWidth="1"/>
    <col min="10770" max="10770" width="11.85546875" style="558" customWidth="1"/>
    <col min="10771" max="10771" width="6.140625" style="558" customWidth="1"/>
    <col min="10772" max="10772" width="11.42578125" style="558" customWidth="1"/>
    <col min="10773" max="10773" width="14.28515625" style="558" bestFit="1" customWidth="1"/>
    <col min="10774" max="10774" width="11.42578125" style="558" bestFit="1" customWidth="1"/>
    <col min="10775" max="11009" width="11.42578125" style="558"/>
    <col min="11010" max="11010" width="5.42578125" style="558" customWidth="1"/>
    <col min="11011" max="11011" width="1.42578125" style="558" customWidth="1"/>
    <col min="11012" max="11012" width="7.85546875" style="558" customWidth="1"/>
    <col min="11013" max="11015" width="11.42578125" style="558" customWidth="1"/>
    <col min="11016" max="11018" width="14.42578125" style="558" customWidth="1"/>
    <col min="11019" max="11022" width="25.7109375" style="558" customWidth="1"/>
    <col min="11023" max="11023" width="21.42578125" style="558" customWidth="1"/>
    <col min="11024" max="11024" width="2.28515625" style="558" customWidth="1"/>
    <col min="11025" max="11025" width="15.85546875" style="558" customWidth="1"/>
    <col min="11026" max="11026" width="11.85546875" style="558" customWidth="1"/>
    <col min="11027" max="11027" width="6.140625" style="558" customWidth="1"/>
    <col min="11028" max="11028" width="11.42578125" style="558" customWidth="1"/>
    <col min="11029" max="11029" width="14.28515625" style="558" bestFit="1" customWidth="1"/>
    <col min="11030" max="11030" width="11.42578125" style="558" bestFit="1" customWidth="1"/>
    <col min="11031" max="11265" width="11.42578125" style="558"/>
    <col min="11266" max="11266" width="5.42578125" style="558" customWidth="1"/>
    <col min="11267" max="11267" width="1.42578125" style="558" customWidth="1"/>
    <col min="11268" max="11268" width="7.85546875" style="558" customWidth="1"/>
    <col min="11269" max="11271" width="11.42578125" style="558" customWidth="1"/>
    <col min="11272" max="11274" width="14.42578125" style="558" customWidth="1"/>
    <col min="11275" max="11278" width="25.7109375" style="558" customWidth="1"/>
    <col min="11279" max="11279" width="21.42578125" style="558" customWidth="1"/>
    <col min="11280" max="11280" width="2.28515625" style="558" customWidth="1"/>
    <col min="11281" max="11281" width="15.85546875" style="558" customWidth="1"/>
    <col min="11282" max="11282" width="11.85546875" style="558" customWidth="1"/>
    <col min="11283" max="11283" width="6.140625" style="558" customWidth="1"/>
    <col min="11284" max="11284" width="11.42578125" style="558" customWidth="1"/>
    <col min="11285" max="11285" width="14.28515625" style="558" bestFit="1" customWidth="1"/>
    <col min="11286" max="11286" width="11.42578125" style="558" bestFit="1" customWidth="1"/>
    <col min="11287" max="11521" width="11.42578125" style="558"/>
    <col min="11522" max="11522" width="5.42578125" style="558" customWidth="1"/>
    <col min="11523" max="11523" width="1.42578125" style="558" customWidth="1"/>
    <col min="11524" max="11524" width="7.85546875" style="558" customWidth="1"/>
    <col min="11525" max="11527" width="11.42578125" style="558" customWidth="1"/>
    <col min="11528" max="11530" width="14.42578125" style="558" customWidth="1"/>
    <col min="11531" max="11534" width="25.7109375" style="558" customWidth="1"/>
    <col min="11535" max="11535" width="21.42578125" style="558" customWidth="1"/>
    <col min="11536" max="11536" width="2.28515625" style="558" customWidth="1"/>
    <col min="11537" max="11537" width="15.85546875" style="558" customWidth="1"/>
    <col min="11538" max="11538" width="11.85546875" style="558" customWidth="1"/>
    <col min="11539" max="11539" width="6.140625" style="558" customWidth="1"/>
    <col min="11540" max="11540" width="11.42578125" style="558" customWidth="1"/>
    <col min="11541" max="11541" width="14.28515625" style="558" bestFit="1" customWidth="1"/>
    <col min="11542" max="11542" width="11.42578125" style="558" bestFit="1" customWidth="1"/>
    <col min="11543" max="11777" width="11.42578125" style="558"/>
    <col min="11778" max="11778" width="5.42578125" style="558" customWidth="1"/>
    <col min="11779" max="11779" width="1.42578125" style="558" customWidth="1"/>
    <col min="11780" max="11780" width="7.85546875" style="558" customWidth="1"/>
    <col min="11781" max="11783" width="11.42578125" style="558" customWidth="1"/>
    <col min="11784" max="11786" width="14.42578125" style="558" customWidth="1"/>
    <col min="11787" max="11790" width="25.7109375" style="558" customWidth="1"/>
    <col min="11791" max="11791" width="21.42578125" style="558" customWidth="1"/>
    <col min="11792" max="11792" width="2.28515625" style="558" customWidth="1"/>
    <col min="11793" max="11793" width="15.85546875" style="558" customWidth="1"/>
    <col min="11794" max="11794" width="11.85546875" style="558" customWidth="1"/>
    <col min="11795" max="11795" width="6.140625" style="558" customWidth="1"/>
    <col min="11796" max="11796" width="11.42578125" style="558" customWidth="1"/>
    <col min="11797" max="11797" width="14.28515625" style="558" bestFit="1" customWidth="1"/>
    <col min="11798" max="11798" width="11.42578125" style="558" bestFit="1" customWidth="1"/>
    <col min="11799" max="12033" width="11.42578125" style="558"/>
    <col min="12034" max="12034" width="5.42578125" style="558" customWidth="1"/>
    <col min="12035" max="12035" width="1.42578125" style="558" customWidth="1"/>
    <col min="12036" max="12036" width="7.85546875" style="558" customWidth="1"/>
    <col min="12037" max="12039" width="11.42578125" style="558" customWidth="1"/>
    <col min="12040" max="12042" width="14.42578125" style="558" customWidth="1"/>
    <col min="12043" max="12046" width="25.7109375" style="558" customWidth="1"/>
    <col min="12047" max="12047" width="21.42578125" style="558" customWidth="1"/>
    <col min="12048" max="12048" width="2.28515625" style="558" customWidth="1"/>
    <col min="12049" max="12049" width="15.85546875" style="558" customWidth="1"/>
    <col min="12050" max="12050" width="11.85546875" style="558" customWidth="1"/>
    <col min="12051" max="12051" width="6.140625" style="558" customWidth="1"/>
    <col min="12052" max="12052" width="11.42578125" style="558" customWidth="1"/>
    <col min="12053" max="12053" width="14.28515625" style="558" bestFit="1" customWidth="1"/>
    <col min="12054" max="12054" width="11.42578125" style="558" bestFit="1" customWidth="1"/>
    <col min="12055" max="12289" width="11.42578125" style="558"/>
    <col min="12290" max="12290" width="5.42578125" style="558" customWidth="1"/>
    <col min="12291" max="12291" width="1.42578125" style="558" customWidth="1"/>
    <col min="12292" max="12292" width="7.85546875" style="558" customWidth="1"/>
    <col min="12293" max="12295" width="11.42578125" style="558" customWidth="1"/>
    <col min="12296" max="12298" width="14.42578125" style="558" customWidth="1"/>
    <col min="12299" max="12302" width="25.7109375" style="558" customWidth="1"/>
    <col min="12303" max="12303" width="21.42578125" style="558" customWidth="1"/>
    <col min="12304" max="12304" width="2.28515625" style="558" customWidth="1"/>
    <col min="12305" max="12305" width="15.85546875" style="558" customWidth="1"/>
    <col min="12306" max="12306" width="11.85546875" style="558" customWidth="1"/>
    <col min="12307" max="12307" width="6.140625" style="558" customWidth="1"/>
    <col min="12308" max="12308" width="11.42578125" style="558" customWidth="1"/>
    <col min="12309" max="12309" width="14.28515625" style="558" bestFit="1" customWidth="1"/>
    <col min="12310" max="12310" width="11.42578125" style="558" bestFit="1" customWidth="1"/>
    <col min="12311" max="12545" width="11.42578125" style="558"/>
    <col min="12546" max="12546" width="5.42578125" style="558" customWidth="1"/>
    <col min="12547" max="12547" width="1.42578125" style="558" customWidth="1"/>
    <col min="12548" max="12548" width="7.85546875" style="558" customWidth="1"/>
    <col min="12549" max="12551" width="11.42578125" style="558" customWidth="1"/>
    <col min="12552" max="12554" width="14.42578125" style="558" customWidth="1"/>
    <col min="12555" max="12558" width="25.7109375" style="558" customWidth="1"/>
    <col min="12559" max="12559" width="21.42578125" style="558" customWidth="1"/>
    <col min="12560" max="12560" width="2.28515625" style="558" customWidth="1"/>
    <col min="12561" max="12561" width="15.85546875" style="558" customWidth="1"/>
    <col min="12562" max="12562" width="11.85546875" style="558" customWidth="1"/>
    <col min="12563" max="12563" width="6.140625" style="558" customWidth="1"/>
    <col min="12564" max="12564" width="11.42578125" style="558" customWidth="1"/>
    <col min="12565" max="12565" width="14.28515625" style="558" bestFit="1" customWidth="1"/>
    <col min="12566" max="12566" width="11.42578125" style="558" bestFit="1" customWidth="1"/>
    <col min="12567" max="12801" width="11.42578125" style="558"/>
    <col min="12802" max="12802" width="5.42578125" style="558" customWidth="1"/>
    <col min="12803" max="12803" width="1.42578125" style="558" customWidth="1"/>
    <col min="12804" max="12804" width="7.85546875" style="558" customWidth="1"/>
    <col min="12805" max="12807" width="11.42578125" style="558" customWidth="1"/>
    <col min="12808" max="12810" width="14.42578125" style="558" customWidth="1"/>
    <col min="12811" max="12814" width="25.7109375" style="558" customWidth="1"/>
    <col min="12815" max="12815" width="21.42578125" style="558" customWidth="1"/>
    <col min="12816" max="12816" width="2.28515625" style="558" customWidth="1"/>
    <col min="12817" max="12817" width="15.85546875" style="558" customWidth="1"/>
    <col min="12818" max="12818" width="11.85546875" style="558" customWidth="1"/>
    <col min="12819" max="12819" width="6.140625" style="558" customWidth="1"/>
    <col min="12820" max="12820" width="11.42578125" style="558" customWidth="1"/>
    <col min="12821" max="12821" width="14.28515625" style="558" bestFit="1" customWidth="1"/>
    <col min="12822" max="12822" width="11.42578125" style="558" bestFit="1" customWidth="1"/>
    <col min="12823" max="13057" width="11.42578125" style="558"/>
    <col min="13058" max="13058" width="5.42578125" style="558" customWidth="1"/>
    <col min="13059" max="13059" width="1.42578125" style="558" customWidth="1"/>
    <col min="13060" max="13060" width="7.85546875" style="558" customWidth="1"/>
    <col min="13061" max="13063" width="11.42578125" style="558" customWidth="1"/>
    <col min="13064" max="13066" width="14.42578125" style="558" customWidth="1"/>
    <col min="13067" max="13070" width="25.7109375" style="558" customWidth="1"/>
    <col min="13071" max="13071" width="21.42578125" style="558" customWidth="1"/>
    <col min="13072" max="13072" width="2.28515625" style="558" customWidth="1"/>
    <col min="13073" max="13073" width="15.85546875" style="558" customWidth="1"/>
    <col min="13074" max="13074" width="11.85546875" style="558" customWidth="1"/>
    <col min="13075" max="13075" width="6.140625" style="558" customWidth="1"/>
    <col min="13076" max="13076" width="11.42578125" style="558" customWidth="1"/>
    <col min="13077" max="13077" width="14.28515625" style="558" bestFit="1" customWidth="1"/>
    <col min="13078" max="13078" width="11.42578125" style="558" bestFit="1" customWidth="1"/>
    <col min="13079" max="13313" width="11.42578125" style="558"/>
    <col min="13314" max="13314" width="5.42578125" style="558" customWidth="1"/>
    <col min="13315" max="13315" width="1.42578125" style="558" customWidth="1"/>
    <col min="13316" max="13316" width="7.85546875" style="558" customWidth="1"/>
    <col min="13317" max="13319" width="11.42578125" style="558" customWidth="1"/>
    <col min="13320" max="13322" width="14.42578125" style="558" customWidth="1"/>
    <col min="13323" max="13326" width="25.7109375" style="558" customWidth="1"/>
    <col min="13327" max="13327" width="21.42578125" style="558" customWidth="1"/>
    <col min="13328" max="13328" width="2.28515625" style="558" customWidth="1"/>
    <col min="13329" max="13329" width="15.85546875" style="558" customWidth="1"/>
    <col min="13330" max="13330" width="11.85546875" style="558" customWidth="1"/>
    <col min="13331" max="13331" width="6.140625" style="558" customWidth="1"/>
    <col min="13332" max="13332" width="11.42578125" style="558" customWidth="1"/>
    <col min="13333" max="13333" width="14.28515625" style="558" bestFit="1" customWidth="1"/>
    <col min="13334" max="13334" width="11.42578125" style="558" bestFit="1" customWidth="1"/>
    <col min="13335" max="13569" width="11.42578125" style="558"/>
    <col min="13570" max="13570" width="5.42578125" style="558" customWidth="1"/>
    <col min="13571" max="13571" width="1.42578125" style="558" customWidth="1"/>
    <col min="13572" max="13572" width="7.85546875" style="558" customWidth="1"/>
    <col min="13573" max="13575" width="11.42578125" style="558" customWidth="1"/>
    <col min="13576" max="13578" width="14.42578125" style="558" customWidth="1"/>
    <col min="13579" max="13582" width="25.7109375" style="558" customWidth="1"/>
    <col min="13583" max="13583" width="21.42578125" style="558" customWidth="1"/>
    <col min="13584" max="13584" width="2.28515625" style="558" customWidth="1"/>
    <col min="13585" max="13585" width="15.85546875" style="558" customWidth="1"/>
    <col min="13586" max="13586" width="11.85546875" style="558" customWidth="1"/>
    <col min="13587" max="13587" width="6.140625" style="558" customWidth="1"/>
    <col min="13588" max="13588" width="11.42578125" style="558" customWidth="1"/>
    <col min="13589" max="13589" width="14.28515625" style="558" bestFit="1" customWidth="1"/>
    <col min="13590" max="13590" width="11.42578125" style="558" bestFit="1" customWidth="1"/>
    <col min="13591" max="13825" width="11.42578125" style="558"/>
    <col min="13826" max="13826" width="5.42578125" style="558" customWidth="1"/>
    <col min="13827" max="13827" width="1.42578125" style="558" customWidth="1"/>
    <col min="13828" max="13828" width="7.85546875" style="558" customWidth="1"/>
    <col min="13829" max="13831" width="11.42578125" style="558" customWidth="1"/>
    <col min="13832" max="13834" width="14.42578125" style="558" customWidth="1"/>
    <col min="13835" max="13838" width="25.7109375" style="558" customWidth="1"/>
    <col min="13839" max="13839" width="21.42578125" style="558" customWidth="1"/>
    <col min="13840" max="13840" width="2.28515625" style="558" customWidth="1"/>
    <col min="13841" max="13841" width="15.85546875" style="558" customWidth="1"/>
    <col min="13842" max="13842" width="11.85546875" style="558" customWidth="1"/>
    <col min="13843" max="13843" width="6.140625" style="558" customWidth="1"/>
    <col min="13844" max="13844" width="11.42578125" style="558" customWidth="1"/>
    <col min="13845" max="13845" width="14.28515625" style="558" bestFit="1" customWidth="1"/>
    <col min="13846" max="13846" width="11.42578125" style="558" bestFit="1" customWidth="1"/>
    <col min="13847" max="14081" width="11.42578125" style="558"/>
    <col min="14082" max="14082" width="5.42578125" style="558" customWidth="1"/>
    <col min="14083" max="14083" width="1.42578125" style="558" customWidth="1"/>
    <col min="14084" max="14084" width="7.85546875" style="558" customWidth="1"/>
    <col min="14085" max="14087" width="11.42578125" style="558" customWidth="1"/>
    <col min="14088" max="14090" width="14.42578125" style="558" customWidth="1"/>
    <col min="14091" max="14094" width="25.7109375" style="558" customWidth="1"/>
    <col min="14095" max="14095" width="21.42578125" style="558" customWidth="1"/>
    <col min="14096" max="14096" width="2.28515625" style="558" customWidth="1"/>
    <col min="14097" max="14097" width="15.85546875" style="558" customWidth="1"/>
    <col min="14098" max="14098" width="11.85546875" style="558" customWidth="1"/>
    <col min="14099" max="14099" width="6.140625" style="558" customWidth="1"/>
    <col min="14100" max="14100" width="11.42578125" style="558" customWidth="1"/>
    <col min="14101" max="14101" width="14.28515625" style="558" bestFit="1" customWidth="1"/>
    <col min="14102" max="14102" width="11.42578125" style="558" bestFit="1" customWidth="1"/>
    <col min="14103" max="14337" width="11.42578125" style="558"/>
    <col min="14338" max="14338" width="5.42578125" style="558" customWidth="1"/>
    <col min="14339" max="14339" width="1.42578125" style="558" customWidth="1"/>
    <col min="14340" max="14340" width="7.85546875" style="558" customWidth="1"/>
    <col min="14341" max="14343" width="11.42578125" style="558" customWidth="1"/>
    <col min="14344" max="14346" width="14.42578125" style="558" customWidth="1"/>
    <col min="14347" max="14350" width="25.7109375" style="558" customWidth="1"/>
    <col min="14351" max="14351" width="21.42578125" style="558" customWidth="1"/>
    <col min="14352" max="14352" width="2.28515625" style="558" customWidth="1"/>
    <col min="14353" max="14353" width="15.85546875" style="558" customWidth="1"/>
    <col min="14354" max="14354" width="11.85546875" style="558" customWidth="1"/>
    <col min="14355" max="14355" width="6.140625" style="558" customWidth="1"/>
    <col min="14356" max="14356" width="11.42578125" style="558" customWidth="1"/>
    <col min="14357" max="14357" width="14.28515625" style="558" bestFit="1" customWidth="1"/>
    <col min="14358" max="14358" width="11.42578125" style="558" bestFit="1" customWidth="1"/>
    <col min="14359" max="14593" width="11.42578125" style="558"/>
    <col min="14594" max="14594" width="5.42578125" style="558" customWidth="1"/>
    <col min="14595" max="14595" width="1.42578125" style="558" customWidth="1"/>
    <col min="14596" max="14596" width="7.85546875" style="558" customWidth="1"/>
    <col min="14597" max="14599" width="11.42578125" style="558" customWidth="1"/>
    <col min="14600" max="14602" width="14.42578125" style="558" customWidth="1"/>
    <col min="14603" max="14606" width="25.7109375" style="558" customWidth="1"/>
    <col min="14607" max="14607" width="21.42578125" style="558" customWidth="1"/>
    <col min="14608" max="14608" width="2.28515625" style="558" customWidth="1"/>
    <col min="14609" max="14609" width="15.85546875" style="558" customWidth="1"/>
    <col min="14610" max="14610" width="11.85546875" style="558" customWidth="1"/>
    <col min="14611" max="14611" width="6.140625" style="558" customWidth="1"/>
    <col min="14612" max="14612" width="11.42578125" style="558" customWidth="1"/>
    <col min="14613" max="14613" width="14.28515625" style="558" bestFit="1" customWidth="1"/>
    <col min="14614" max="14614" width="11.42578125" style="558" bestFit="1" customWidth="1"/>
    <col min="14615" max="14849" width="11.42578125" style="558"/>
    <col min="14850" max="14850" width="5.42578125" style="558" customWidth="1"/>
    <col min="14851" max="14851" width="1.42578125" style="558" customWidth="1"/>
    <col min="14852" max="14852" width="7.85546875" style="558" customWidth="1"/>
    <col min="14853" max="14855" width="11.42578125" style="558" customWidth="1"/>
    <col min="14856" max="14858" width="14.42578125" style="558" customWidth="1"/>
    <col min="14859" max="14862" width="25.7109375" style="558" customWidth="1"/>
    <col min="14863" max="14863" width="21.42578125" style="558" customWidth="1"/>
    <col min="14864" max="14864" width="2.28515625" style="558" customWidth="1"/>
    <col min="14865" max="14865" width="15.85546875" style="558" customWidth="1"/>
    <col min="14866" max="14866" width="11.85546875" style="558" customWidth="1"/>
    <col min="14867" max="14867" width="6.140625" style="558" customWidth="1"/>
    <col min="14868" max="14868" width="11.42578125" style="558" customWidth="1"/>
    <col min="14869" max="14869" width="14.28515625" style="558" bestFit="1" customWidth="1"/>
    <col min="14870" max="14870" width="11.42578125" style="558" bestFit="1" customWidth="1"/>
    <col min="14871" max="15105" width="11.42578125" style="558"/>
    <col min="15106" max="15106" width="5.42578125" style="558" customWidth="1"/>
    <col min="15107" max="15107" width="1.42578125" style="558" customWidth="1"/>
    <col min="15108" max="15108" width="7.85546875" style="558" customWidth="1"/>
    <col min="15109" max="15111" width="11.42578125" style="558" customWidth="1"/>
    <col min="15112" max="15114" width="14.42578125" style="558" customWidth="1"/>
    <col min="15115" max="15118" width="25.7109375" style="558" customWidth="1"/>
    <col min="15119" max="15119" width="21.42578125" style="558" customWidth="1"/>
    <col min="15120" max="15120" width="2.28515625" style="558" customWidth="1"/>
    <col min="15121" max="15121" width="15.85546875" style="558" customWidth="1"/>
    <col min="15122" max="15122" width="11.85546875" style="558" customWidth="1"/>
    <col min="15123" max="15123" width="6.140625" style="558" customWidth="1"/>
    <col min="15124" max="15124" width="11.42578125" style="558" customWidth="1"/>
    <col min="15125" max="15125" width="14.28515625" style="558" bestFit="1" customWidth="1"/>
    <col min="15126" max="15126" width="11.42578125" style="558" bestFit="1" customWidth="1"/>
    <col min="15127" max="15361" width="11.42578125" style="558"/>
    <col min="15362" max="15362" width="5.42578125" style="558" customWidth="1"/>
    <col min="15363" max="15363" width="1.42578125" style="558" customWidth="1"/>
    <col min="15364" max="15364" width="7.85546875" style="558" customWidth="1"/>
    <col min="15365" max="15367" width="11.42578125" style="558" customWidth="1"/>
    <col min="15368" max="15370" width="14.42578125" style="558" customWidth="1"/>
    <col min="15371" max="15374" width="25.7109375" style="558" customWidth="1"/>
    <col min="15375" max="15375" width="21.42578125" style="558" customWidth="1"/>
    <col min="15376" max="15376" width="2.28515625" style="558" customWidth="1"/>
    <col min="15377" max="15377" width="15.85546875" style="558" customWidth="1"/>
    <col min="15378" max="15378" width="11.85546875" style="558" customWidth="1"/>
    <col min="15379" max="15379" width="6.140625" style="558" customWidth="1"/>
    <col min="15380" max="15380" width="11.42578125" style="558" customWidth="1"/>
    <col min="15381" max="15381" width="14.28515625" style="558" bestFit="1" customWidth="1"/>
    <col min="15382" max="15382" width="11.42578125" style="558" bestFit="1" customWidth="1"/>
    <col min="15383" max="15617" width="11.42578125" style="558"/>
    <col min="15618" max="15618" width="5.42578125" style="558" customWidth="1"/>
    <col min="15619" max="15619" width="1.42578125" style="558" customWidth="1"/>
    <col min="15620" max="15620" width="7.85546875" style="558" customWidth="1"/>
    <col min="15621" max="15623" width="11.42578125" style="558" customWidth="1"/>
    <col min="15624" max="15626" width="14.42578125" style="558" customWidth="1"/>
    <col min="15627" max="15630" width="25.7109375" style="558" customWidth="1"/>
    <col min="15631" max="15631" width="21.42578125" style="558" customWidth="1"/>
    <col min="15632" max="15632" width="2.28515625" style="558" customWidth="1"/>
    <col min="15633" max="15633" width="15.85546875" style="558" customWidth="1"/>
    <col min="15634" max="15634" width="11.85546875" style="558" customWidth="1"/>
    <col min="15635" max="15635" width="6.140625" style="558" customWidth="1"/>
    <col min="15636" max="15636" width="11.42578125" style="558" customWidth="1"/>
    <col min="15637" max="15637" width="14.28515625" style="558" bestFit="1" customWidth="1"/>
    <col min="15638" max="15638" width="11.42578125" style="558" bestFit="1" customWidth="1"/>
    <col min="15639" max="15873" width="11.42578125" style="558"/>
    <col min="15874" max="15874" width="5.42578125" style="558" customWidth="1"/>
    <col min="15875" max="15875" width="1.42578125" style="558" customWidth="1"/>
    <col min="15876" max="15876" width="7.85546875" style="558" customWidth="1"/>
    <col min="15877" max="15879" width="11.42578125" style="558" customWidth="1"/>
    <col min="15880" max="15882" width="14.42578125" style="558" customWidth="1"/>
    <col min="15883" max="15886" width="25.7109375" style="558" customWidth="1"/>
    <col min="15887" max="15887" width="21.42578125" style="558" customWidth="1"/>
    <col min="15888" max="15888" width="2.28515625" style="558" customWidth="1"/>
    <col min="15889" max="15889" width="15.85546875" style="558" customWidth="1"/>
    <col min="15890" max="15890" width="11.85546875" style="558" customWidth="1"/>
    <col min="15891" max="15891" width="6.140625" style="558" customWidth="1"/>
    <col min="15892" max="15892" width="11.42578125" style="558" customWidth="1"/>
    <col min="15893" max="15893" width="14.28515625" style="558" bestFit="1" customWidth="1"/>
    <col min="15894" max="15894" width="11.42578125" style="558" bestFit="1" customWidth="1"/>
    <col min="15895" max="16129" width="11.42578125" style="558"/>
    <col min="16130" max="16130" width="5.42578125" style="558" customWidth="1"/>
    <col min="16131" max="16131" width="1.42578125" style="558" customWidth="1"/>
    <col min="16132" max="16132" width="7.85546875" style="558" customWidth="1"/>
    <col min="16133" max="16135" width="11.42578125" style="558" customWidth="1"/>
    <col min="16136" max="16138" width="14.42578125" style="558" customWidth="1"/>
    <col min="16139" max="16142" width="25.7109375" style="558" customWidth="1"/>
    <col min="16143" max="16143" width="21.42578125" style="558" customWidth="1"/>
    <col min="16144" max="16144" width="2.28515625" style="558" customWidth="1"/>
    <col min="16145" max="16145" width="15.85546875" style="558" customWidth="1"/>
    <col min="16146" max="16146" width="11.85546875" style="558" customWidth="1"/>
    <col min="16147" max="16147" width="6.140625" style="558" customWidth="1"/>
    <col min="16148" max="16148" width="11.42578125" style="558" customWidth="1"/>
    <col min="16149" max="16149" width="14.28515625" style="558" bestFit="1" customWidth="1"/>
    <col min="16150" max="16150" width="11.42578125" style="558" bestFit="1" customWidth="1"/>
    <col min="16151" max="16384" width="11.42578125" style="558"/>
  </cols>
  <sheetData>
    <row r="2" spans="2:22" ht="138" customHeight="1"/>
    <row r="3" spans="2:22" ht="37.5" customHeight="1">
      <c r="C3" s="778" t="s">
        <v>770</v>
      </c>
      <c r="D3" s="779"/>
      <c r="E3" s="779"/>
      <c r="F3" s="779"/>
      <c r="G3" s="779"/>
      <c r="H3" s="779"/>
      <c r="I3" s="779"/>
      <c r="J3" s="779"/>
      <c r="K3" s="779"/>
      <c r="L3" s="779"/>
      <c r="M3" s="779"/>
      <c r="N3" s="779"/>
      <c r="O3" s="780"/>
    </row>
    <row r="4" spans="2:22" s="431" customFormat="1" ht="30" customHeight="1">
      <c r="C4" s="801" t="str">
        <f>Orçamento!B4</f>
        <v>PREFEITURA: Prefeitura Municipal de Pouso Alegre</v>
      </c>
      <c r="D4" s="802"/>
      <c r="E4" s="802"/>
      <c r="F4" s="802"/>
      <c r="G4" s="802"/>
      <c r="H4" s="802"/>
      <c r="I4" s="802"/>
      <c r="J4" s="802"/>
      <c r="K4" s="802"/>
      <c r="L4" s="802"/>
      <c r="M4" s="802"/>
      <c r="N4" s="802"/>
      <c r="O4" s="803"/>
    </row>
    <row r="5" spans="2:22" s="431" customFormat="1" ht="20.25" customHeight="1">
      <c r="C5" s="781" t="str">
        <f>Orçamento!B5</f>
        <v>OBRA: Pavimentação e Drenagem da Via Noroeste 1º Etapa</v>
      </c>
      <c r="D5" s="782"/>
      <c r="E5" s="782"/>
      <c r="F5" s="782"/>
      <c r="G5" s="782"/>
      <c r="H5" s="782"/>
      <c r="I5" s="782"/>
      <c r="J5" s="782"/>
      <c r="K5" s="783"/>
      <c r="L5" s="430" t="s">
        <v>771</v>
      </c>
      <c r="M5" s="405" t="s">
        <v>778</v>
      </c>
      <c r="N5" s="804" t="str">
        <f>[19]Orçamento!K9</f>
        <v>MUNICÍPIO:</v>
      </c>
      <c r="O5" s="805"/>
    </row>
    <row r="6" spans="2:22" s="431" customFormat="1" ht="21" customHeight="1">
      <c r="C6" s="784"/>
      <c r="D6" s="785"/>
      <c r="E6" s="785"/>
      <c r="F6" s="785"/>
      <c r="G6" s="785"/>
      <c r="H6" s="785"/>
      <c r="I6" s="785"/>
      <c r="J6" s="785"/>
      <c r="K6" s="786"/>
      <c r="L6" s="552" t="str">
        <f>[20]Orçamento!O6</f>
        <v>BDI SERVIÇOS:</v>
      </c>
      <c r="M6" s="553">
        <f>BDI!P4</f>
        <v>0.24229999999999999</v>
      </c>
      <c r="N6" s="806" t="s">
        <v>777</v>
      </c>
      <c r="O6" s="807"/>
    </row>
    <row r="7" spans="2:22" ht="66.75" customHeight="1">
      <c r="B7" s="554"/>
      <c r="C7" s="799" t="s">
        <v>3</v>
      </c>
      <c r="D7" s="793" t="s">
        <v>772</v>
      </c>
      <c r="E7" s="794"/>
      <c r="F7" s="794"/>
      <c r="G7" s="795"/>
      <c r="H7" s="799" t="s">
        <v>31</v>
      </c>
      <c r="I7" s="799" t="s">
        <v>6</v>
      </c>
      <c r="J7" s="791" t="s">
        <v>779</v>
      </c>
      <c r="K7" s="799" t="s">
        <v>24</v>
      </c>
      <c r="L7" s="583" t="s">
        <v>773</v>
      </c>
      <c r="M7" s="560" t="s">
        <v>24</v>
      </c>
      <c r="N7" s="583" t="s">
        <v>774</v>
      </c>
      <c r="O7" s="560" t="s">
        <v>24</v>
      </c>
      <c r="P7" s="555"/>
    </row>
    <row r="8" spans="2:22" ht="24.75" customHeight="1">
      <c r="B8" s="554"/>
      <c r="C8" s="800"/>
      <c r="D8" s="796"/>
      <c r="E8" s="797"/>
      <c r="F8" s="797"/>
      <c r="G8" s="798"/>
      <c r="H8" s="800"/>
      <c r="I8" s="800"/>
      <c r="J8" s="792"/>
      <c r="K8" s="800"/>
      <c r="L8" s="787">
        <f>L18/J18</f>
        <v>0.95000000000000018</v>
      </c>
      <c r="M8" s="788"/>
      <c r="N8" s="789">
        <f>K18-L8</f>
        <v>4.9999999999999822E-2</v>
      </c>
      <c r="O8" s="790"/>
      <c r="P8" s="555"/>
    </row>
    <row r="9" spans="2:22" s="563" customFormat="1" ht="23.1" customHeight="1">
      <c r="B9" s="559"/>
      <c r="C9" s="564">
        <v>1</v>
      </c>
      <c r="D9" s="775" t="str">
        <f>VLOOKUP(C9,Orçamento!B:I,3,FALSE)</f>
        <v>CANTEIRO DE OBRAS</v>
      </c>
      <c r="E9" s="775"/>
      <c r="F9" s="775"/>
      <c r="G9" s="775"/>
      <c r="H9" s="565" t="s">
        <v>775</v>
      </c>
      <c r="I9" s="566">
        <v>1</v>
      </c>
      <c r="J9" s="567">
        <f>VLOOKUP(C9,Orçamento!$B:$I,8,FALSE)</f>
        <v>99250.69</v>
      </c>
      <c r="K9" s="568">
        <f>J9/$J$18</f>
        <v>1.8643266585054871E-2</v>
      </c>
      <c r="L9" s="567">
        <f>J9-N9</f>
        <v>94288.155500000008</v>
      </c>
      <c r="M9" s="568">
        <f>L9/$L$18</f>
        <v>1.8643266585054868E-2</v>
      </c>
      <c r="N9" s="567">
        <f>J9*0.05</f>
        <v>4962.5345000000007</v>
      </c>
      <c r="O9" s="568">
        <f t="shared" ref="O9:O17" si="0">N9/$N$18</f>
        <v>1.8643266585054875E-2</v>
      </c>
      <c r="P9" s="569"/>
      <c r="Q9" s="561"/>
      <c r="R9" s="570"/>
      <c r="S9" s="562"/>
      <c r="T9" s="561"/>
      <c r="U9" s="561"/>
      <c r="V9" s="561"/>
    </row>
    <row r="10" spans="2:22" s="563" customFormat="1" ht="23.1" customHeight="1">
      <c r="B10" s="559"/>
      <c r="C10" s="564">
        <v>2</v>
      </c>
      <c r="D10" s="775" t="str">
        <f>VLOOKUP(C10,Orçamento!B:I,3,FALSE)</f>
        <v>ADMINISTRAÇÃO LOCAL</v>
      </c>
      <c r="E10" s="775"/>
      <c r="F10" s="775"/>
      <c r="G10" s="775"/>
      <c r="H10" s="565" t="s">
        <v>775</v>
      </c>
      <c r="I10" s="566">
        <v>1</v>
      </c>
      <c r="J10" s="567">
        <f>VLOOKUP(C10,Orçamento!$B:$I,8,FALSE)</f>
        <v>266518.48</v>
      </c>
      <c r="K10" s="568">
        <f t="shared" ref="K10:K17" si="1">J10/$J$18</f>
        <v>5.0062876867491952E-2</v>
      </c>
      <c r="L10" s="567">
        <f t="shared" ref="L10:L17" si="2">J10-N10</f>
        <v>253192.55599999998</v>
      </c>
      <c r="M10" s="568">
        <f t="shared" ref="M10:M17" si="3">L10/$L$18</f>
        <v>5.0062876867491939E-2</v>
      </c>
      <c r="N10" s="567">
        <f t="shared" ref="N10:N17" si="4">J10*0.05</f>
        <v>13325.923999999999</v>
      </c>
      <c r="O10" s="568">
        <f t="shared" si="0"/>
        <v>5.0062876867491946E-2</v>
      </c>
      <c r="P10" s="569"/>
      <c r="Q10" s="561"/>
      <c r="R10" s="570"/>
      <c r="S10" s="562"/>
      <c r="T10" s="561"/>
      <c r="U10" s="561"/>
      <c r="V10" s="561"/>
    </row>
    <row r="11" spans="2:22" s="563" customFormat="1" ht="23.1" customHeight="1">
      <c r="B11" s="559"/>
      <c r="C11" s="564">
        <v>3</v>
      </c>
      <c r="D11" s="775" t="str">
        <f>VLOOKUP(C11,Orçamento!B:I,3,FALSE)</f>
        <v>LOCAÇÃO DA OBRA</v>
      </c>
      <c r="E11" s="775"/>
      <c r="F11" s="775"/>
      <c r="G11" s="775"/>
      <c r="H11" s="565" t="s">
        <v>775</v>
      </c>
      <c r="I11" s="566">
        <v>1</v>
      </c>
      <c r="J11" s="567">
        <f>VLOOKUP(C11,Orçamento!$B:$I,8,FALSE)</f>
        <v>100295.63</v>
      </c>
      <c r="K11" s="568">
        <f t="shared" si="1"/>
        <v>1.8839548293377376E-2</v>
      </c>
      <c r="L11" s="567">
        <f t="shared" si="2"/>
        <v>95280.848500000007</v>
      </c>
      <c r="M11" s="568">
        <f t="shared" si="3"/>
        <v>1.8839548293377372E-2</v>
      </c>
      <c r="N11" s="567">
        <f t="shared" si="4"/>
        <v>5014.781500000001</v>
      </c>
      <c r="O11" s="568">
        <f t="shared" si="0"/>
        <v>1.8839548293377379E-2</v>
      </c>
      <c r="P11" s="569"/>
      <c r="Q11" s="561"/>
      <c r="R11" s="570"/>
      <c r="S11" s="562"/>
      <c r="T11" s="561"/>
      <c r="U11" s="561"/>
      <c r="V11" s="561"/>
    </row>
    <row r="12" spans="2:22" s="563" customFormat="1" ht="23.1" customHeight="1">
      <c r="B12" s="559"/>
      <c r="C12" s="564">
        <v>4</v>
      </c>
      <c r="D12" s="775" t="str">
        <f>VLOOKUP(C12,Orçamento!B:I,3,FALSE)</f>
        <v>TERRAPLENAGEM</v>
      </c>
      <c r="E12" s="775"/>
      <c r="F12" s="775"/>
      <c r="G12" s="775"/>
      <c r="H12" s="565" t="s">
        <v>775</v>
      </c>
      <c r="I12" s="566">
        <v>1</v>
      </c>
      <c r="J12" s="567">
        <f>VLOOKUP(C12,Orçamento!$B:$I,8,FALSE)</f>
        <v>1296296.2</v>
      </c>
      <c r="K12" s="568">
        <f t="shared" si="1"/>
        <v>0.24349649992149783</v>
      </c>
      <c r="L12" s="567">
        <f t="shared" si="2"/>
        <v>1231481.3899999999</v>
      </c>
      <c r="M12" s="568">
        <f t="shared" si="3"/>
        <v>0.24349649992149777</v>
      </c>
      <c r="N12" s="567">
        <f t="shared" si="4"/>
        <v>64814.81</v>
      </c>
      <c r="O12" s="568">
        <f t="shared" si="0"/>
        <v>0.24349649992149783</v>
      </c>
      <c r="P12" s="569"/>
      <c r="Q12" s="561"/>
      <c r="R12" s="570"/>
      <c r="S12" s="562"/>
      <c r="T12" s="561"/>
      <c r="U12" s="561"/>
      <c r="V12" s="561"/>
    </row>
    <row r="13" spans="2:22" s="563" customFormat="1" ht="23.1" customHeight="1">
      <c r="B13" s="559"/>
      <c r="C13" s="564">
        <v>5</v>
      </c>
      <c r="D13" s="775" t="str">
        <f>VLOOKUP(C13,Orçamento!B:I,3,FALSE)</f>
        <v>DRENAGEM</v>
      </c>
      <c r="E13" s="775"/>
      <c r="F13" s="775"/>
      <c r="G13" s="775"/>
      <c r="H13" s="565" t="s">
        <v>775</v>
      </c>
      <c r="I13" s="566">
        <v>1</v>
      </c>
      <c r="J13" s="567">
        <f>VLOOKUP(C13,Orçamento!$B:$I,8,FALSE)</f>
        <v>563770.11</v>
      </c>
      <c r="K13" s="568">
        <f t="shared" si="1"/>
        <v>0.10589867388746324</v>
      </c>
      <c r="L13" s="567">
        <f t="shared" si="2"/>
        <v>535581.60450000002</v>
      </c>
      <c r="M13" s="568">
        <f t="shared" si="3"/>
        <v>0.10589867388746323</v>
      </c>
      <c r="N13" s="567">
        <f t="shared" si="4"/>
        <v>28188.505499999999</v>
      </c>
      <c r="O13" s="568">
        <f t="shared" si="0"/>
        <v>0.10589867388746324</v>
      </c>
      <c r="P13" s="569"/>
      <c r="Q13" s="561"/>
      <c r="R13" s="570"/>
      <c r="S13" s="562"/>
      <c r="T13" s="561"/>
      <c r="U13" s="561"/>
      <c r="V13" s="561"/>
    </row>
    <row r="14" spans="2:22" s="563" customFormat="1" ht="23.1" customHeight="1">
      <c r="B14" s="559"/>
      <c r="C14" s="564">
        <v>6</v>
      </c>
      <c r="D14" s="775" t="str">
        <f>VLOOKUP(C14,Orçamento!B:I,3,FALSE)</f>
        <v>PAVIMENTAÇÃO</v>
      </c>
      <c r="E14" s="775"/>
      <c r="F14" s="775"/>
      <c r="G14" s="775"/>
      <c r="H14" s="565" t="s">
        <v>775</v>
      </c>
      <c r="I14" s="566">
        <v>1</v>
      </c>
      <c r="J14" s="567">
        <f>VLOOKUP(C14,Orçamento!$B:$I,8,FALSE)</f>
        <v>1821438.6000000003</v>
      </c>
      <c r="K14" s="568">
        <f t="shared" si="1"/>
        <v>0.34213933815582676</v>
      </c>
      <c r="L14" s="567">
        <f t="shared" si="2"/>
        <v>1730366.6700000004</v>
      </c>
      <c r="M14" s="568">
        <f t="shared" si="3"/>
        <v>0.3421393381558267</v>
      </c>
      <c r="N14" s="567">
        <f t="shared" si="4"/>
        <v>91071.930000000022</v>
      </c>
      <c r="O14" s="568">
        <f t="shared" si="0"/>
        <v>0.34213933815582676</v>
      </c>
      <c r="P14" s="569"/>
      <c r="Q14" s="561"/>
      <c r="R14" s="570"/>
      <c r="S14" s="562"/>
      <c r="T14" s="561"/>
      <c r="U14" s="561"/>
      <c r="V14" s="561"/>
    </row>
    <row r="15" spans="2:22" s="563" customFormat="1" ht="23.1" customHeight="1">
      <c r="B15" s="559"/>
      <c r="C15" s="564">
        <v>7</v>
      </c>
      <c r="D15" s="775" t="str">
        <f>VLOOKUP(C15,Orçamento!B:I,3,FALSE)</f>
        <v>OBRAS COMPLEMENTARES</v>
      </c>
      <c r="E15" s="775"/>
      <c r="F15" s="775"/>
      <c r="G15" s="775"/>
      <c r="H15" s="565" t="s">
        <v>775</v>
      </c>
      <c r="I15" s="566">
        <v>1</v>
      </c>
      <c r="J15" s="567">
        <f>VLOOKUP(C15,Orçamento!$B:$I,8,FALSE)</f>
        <v>829980.46</v>
      </c>
      <c r="K15" s="568">
        <f t="shared" si="1"/>
        <v>0.15590367156305382</v>
      </c>
      <c r="L15" s="567">
        <f t="shared" si="2"/>
        <v>788481.43699999992</v>
      </c>
      <c r="M15" s="568">
        <f t="shared" si="3"/>
        <v>0.15590367156305379</v>
      </c>
      <c r="N15" s="567">
        <f t="shared" si="4"/>
        <v>41499.023000000001</v>
      </c>
      <c r="O15" s="568">
        <f t="shared" si="0"/>
        <v>0.15590367156305382</v>
      </c>
      <c r="P15" s="569"/>
      <c r="Q15" s="561"/>
      <c r="R15" s="570"/>
      <c r="S15" s="562"/>
      <c r="T15" s="561"/>
      <c r="U15" s="561"/>
      <c r="V15" s="561"/>
    </row>
    <row r="16" spans="2:22" s="563" customFormat="1" ht="23.1" customHeight="1">
      <c r="B16" s="559"/>
      <c r="C16" s="564">
        <v>8</v>
      </c>
      <c r="D16" s="775" t="str">
        <f>VLOOKUP(C16,Orçamento!B:I,3,FALSE)</f>
        <v>URBANIZAÇÃO E PAISAGISMO</v>
      </c>
      <c r="E16" s="775"/>
      <c r="F16" s="775"/>
      <c r="G16" s="775"/>
      <c r="H16" s="565" t="s">
        <v>775</v>
      </c>
      <c r="I16" s="566">
        <v>1</v>
      </c>
      <c r="J16" s="567">
        <f>VLOOKUP(C16,Orçamento!$B:$I,8,FALSE)</f>
        <v>334058.92</v>
      </c>
      <c r="K16" s="568">
        <f t="shared" si="1"/>
        <v>6.2749684668948078E-2</v>
      </c>
      <c r="L16" s="567">
        <f t="shared" si="2"/>
        <v>317355.97399999999</v>
      </c>
      <c r="M16" s="568">
        <f t="shared" si="3"/>
        <v>6.2749684668948064E-2</v>
      </c>
      <c r="N16" s="567">
        <f t="shared" si="4"/>
        <v>16702.946</v>
      </c>
      <c r="O16" s="568">
        <f t="shared" si="0"/>
        <v>6.2749684668948078E-2</v>
      </c>
      <c r="P16" s="569"/>
      <c r="Q16" s="561"/>
      <c r="R16" s="570"/>
      <c r="S16" s="562"/>
      <c r="T16" s="561"/>
      <c r="U16" s="561"/>
      <c r="V16" s="561"/>
    </row>
    <row r="17" spans="2:22" s="563" customFormat="1" ht="23.1" customHeight="1">
      <c r="B17" s="559"/>
      <c r="C17" s="564">
        <v>9</v>
      </c>
      <c r="D17" s="775" t="str">
        <f>VLOOKUP(C17,Orçamento!B:I,3,FALSE)</f>
        <v>SINALIZAÇÃO</v>
      </c>
      <c r="E17" s="775"/>
      <c r="F17" s="775"/>
      <c r="G17" s="775"/>
      <c r="H17" s="565" t="s">
        <v>775</v>
      </c>
      <c r="I17" s="566">
        <v>1</v>
      </c>
      <c r="J17" s="567">
        <f>VLOOKUP(C17,Orçamento!$B:$I,8,FALSE)</f>
        <v>12065.789999999999</v>
      </c>
      <c r="K17" s="568">
        <f t="shared" si="1"/>
        <v>2.2664400572861426E-3</v>
      </c>
      <c r="L17" s="567">
        <f t="shared" si="2"/>
        <v>11462.500499999998</v>
      </c>
      <c r="M17" s="568">
        <f t="shared" si="3"/>
        <v>2.2664400572861422E-3</v>
      </c>
      <c r="N17" s="567">
        <f t="shared" si="4"/>
        <v>603.28949999999998</v>
      </c>
      <c r="O17" s="568">
        <f t="shared" si="0"/>
        <v>2.2664400572861426E-3</v>
      </c>
      <c r="P17" s="569"/>
      <c r="Q17" s="561"/>
      <c r="R17" s="570"/>
      <c r="S17" s="562"/>
      <c r="T17" s="561"/>
      <c r="U17" s="561"/>
      <c r="V17" s="561"/>
    </row>
    <row r="18" spans="2:22" ht="21.95" customHeight="1">
      <c r="B18" s="554"/>
      <c r="C18" s="776" t="s">
        <v>776</v>
      </c>
      <c r="D18" s="777"/>
      <c r="E18" s="777"/>
      <c r="F18" s="777"/>
      <c r="G18" s="777"/>
      <c r="H18" s="777"/>
      <c r="I18" s="777"/>
      <c r="J18" s="571">
        <f t="shared" ref="J18:O18" si="5">SUM(J9:J17)</f>
        <v>5323674.88</v>
      </c>
      <c r="K18" s="572">
        <f t="shared" si="5"/>
        <v>1</v>
      </c>
      <c r="L18" s="571">
        <f t="shared" si="5"/>
        <v>5057491.1360000009</v>
      </c>
      <c r="M18" s="572">
        <f t="shared" si="5"/>
        <v>0.99999999999999978</v>
      </c>
      <c r="N18" s="571">
        <f t="shared" si="5"/>
        <v>266183.74400000001</v>
      </c>
      <c r="O18" s="572">
        <f t="shared" si="5"/>
        <v>1</v>
      </c>
      <c r="P18" s="555"/>
      <c r="Q18" s="573"/>
      <c r="U18" s="574"/>
      <c r="V18" s="574"/>
    </row>
    <row r="19" spans="2:22" ht="17.25" customHeight="1">
      <c r="B19" s="554"/>
      <c r="C19" s="575"/>
      <c r="D19" s="575"/>
      <c r="E19" s="575"/>
      <c r="F19" s="575"/>
      <c r="G19" s="575"/>
      <c r="H19" s="575"/>
      <c r="I19" s="575"/>
      <c r="J19" s="576"/>
      <c r="K19" s="575"/>
      <c r="L19" s="576"/>
      <c r="M19" s="575"/>
      <c r="N19" s="584"/>
      <c r="O19" s="575"/>
      <c r="P19" s="555"/>
      <c r="Q19" s="577"/>
    </row>
    <row r="20" spans="2:22" ht="17.25" customHeight="1">
      <c r="S20" s="579"/>
    </row>
    <row r="21" spans="2:22" ht="23.25" customHeight="1">
      <c r="J21" s="558"/>
      <c r="L21" s="558"/>
      <c r="N21" s="558"/>
    </row>
    <row r="22" spans="2:22">
      <c r="J22" s="580"/>
      <c r="K22" s="581"/>
      <c r="L22" s="580"/>
      <c r="M22" s="581"/>
      <c r="N22" s="580"/>
      <c r="O22" s="581"/>
    </row>
    <row r="23" spans="2:22">
      <c r="K23" s="582"/>
      <c r="M23" s="582"/>
      <c r="O23" s="582"/>
    </row>
    <row r="26" spans="2:22">
      <c r="K26" s="581"/>
      <c r="M26" s="581"/>
      <c r="O26" s="581"/>
    </row>
  </sheetData>
  <mergeCells count="23">
    <mergeCell ref="K7:K8"/>
    <mergeCell ref="C4:O4"/>
    <mergeCell ref="N5:O5"/>
    <mergeCell ref="N6:O6"/>
    <mergeCell ref="C7:C8"/>
    <mergeCell ref="H7:H8"/>
    <mergeCell ref="I7:I8"/>
    <mergeCell ref="D15:G15"/>
    <mergeCell ref="D16:G16"/>
    <mergeCell ref="C18:I18"/>
    <mergeCell ref="D17:G17"/>
    <mergeCell ref="C3:O3"/>
    <mergeCell ref="C5:K6"/>
    <mergeCell ref="L8:M8"/>
    <mergeCell ref="N8:O8"/>
    <mergeCell ref="J7:J8"/>
    <mergeCell ref="D7:G8"/>
    <mergeCell ref="D9:G9"/>
    <mergeCell ref="D10:G10"/>
    <mergeCell ref="D11:G11"/>
    <mergeCell ref="D12:G12"/>
    <mergeCell ref="D13:G13"/>
    <mergeCell ref="D14:G14"/>
  </mergeCells>
  <pageMargins left="1.3385826771653544" right="0.74803149606299213" top="0.98425196850393704" bottom="0.98425196850393704" header="0.51181102362204722" footer="0.51181102362204722"/>
  <pageSetup paperSize="9" scale="5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B1:AB66"/>
  <sheetViews>
    <sheetView showGridLines="0" view="pageBreakPreview" zoomScale="55" zoomScaleSheetLayoutView="55" workbookViewId="0">
      <selection activeCell="U14" sqref="U14"/>
    </sheetView>
  </sheetViews>
  <sheetFormatPr defaultRowHeight="15"/>
  <cols>
    <col min="1" max="1" width="2" style="42" customWidth="1"/>
    <col min="2" max="2" width="27.7109375" style="42" customWidth="1"/>
    <col min="3" max="3" width="1.7109375" style="42" customWidth="1"/>
    <col min="4" max="4" width="16.140625" style="42" customWidth="1"/>
    <col min="5" max="5" width="17.140625" style="42" customWidth="1"/>
    <col min="6" max="6" width="13" style="42" customWidth="1"/>
    <col min="7" max="7" width="27" style="42" customWidth="1"/>
    <col min="8" max="8" width="11.140625" style="42" customWidth="1"/>
    <col min="9" max="9" width="24.7109375" style="42" customWidth="1"/>
    <col min="10" max="10" width="13.140625" style="42" customWidth="1"/>
    <col min="11" max="11" width="14" style="211" customWidth="1"/>
    <col min="12" max="12" width="17.140625" style="42" customWidth="1"/>
    <col min="13" max="13" width="15.7109375" style="212" customWidth="1"/>
    <col min="14" max="14" width="17.85546875" style="213" customWidth="1"/>
    <col min="15" max="15" width="21.7109375" style="213" customWidth="1"/>
    <col min="16" max="16" width="22.7109375" style="213" customWidth="1"/>
    <col min="17" max="17" width="1.7109375" style="42" customWidth="1"/>
    <col min="18" max="18" width="14.42578125" style="214" customWidth="1"/>
    <col min="19" max="19" width="22.7109375" style="215" customWidth="1"/>
    <col min="20" max="25" width="30.7109375" style="216" customWidth="1"/>
    <col min="26" max="26" width="22.7109375" style="42" customWidth="1"/>
    <col min="27" max="28" width="18.7109375" style="42" customWidth="1"/>
    <col min="29" max="29" width="26.42578125" style="42" customWidth="1"/>
    <col min="30" max="30" width="17.42578125" style="42" customWidth="1"/>
    <col min="31" max="31" width="15.7109375" style="42" customWidth="1"/>
    <col min="32" max="256" width="9.140625" style="42"/>
    <col min="257" max="257" width="2" style="42" customWidth="1"/>
    <col min="258" max="258" width="3" style="42" customWidth="1"/>
    <col min="259" max="259" width="1.7109375" style="42" customWidth="1"/>
    <col min="260" max="260" width="16.140625" style="42" customWidth="1"/>
    <col min="261" max="261" width="17.140625" style="42" customWidth="1"/>
    <col min="262" max="262" width="13" style="42" customWidth="1"/>
    <col min="263" max="263" width="27" style="42" customWidth="1"/>
    <col min="264" max="264" width="11.140625" style="42" customWidth="1"/>
    <col min="265" max="265" width="24.7109375" style="42" customWidth="1"/>
    <col min="266" max="266" width="13.140625" style="42" customWidth="1"/>
    <col min="267" max="267" width="14" style="42" customWidth="1"/>
    <col min="268" max="268" width="17.140625" style="42" customWidth="1"/>
    <col min="269" max="269" width="15.7109375" style="42" customWidth="1"/>
    <col min="270" max="270" width="17.85546875" style="42" customWidth="1"/>
    <col min="271" max="271" width="21.7109375" style="42" customWidth="1"/>
    <col min="272" max="272" width="22.7109375" style="42" customWidth="1"/>
    <col min="273" max="273" width="1.7109375" style="42" customWidth="1"/>
    <col min="274" max="274" width="18.140625" style="42" customWidth="1"/>
    <col min="275" max="275" width="26.5703125" style="42" customWidth="1"/>
    <col min="276" max="276" width="15.85546875" style="42" customWidth="1"/>
    <col min="277" max="277" width="14" style="42" bestFit="1" customWidth="1"/>
    <col min="278" max="278" width="9.140625" style="42"/>
    <col min="279" max="279" width="25.85546875" style="42" customWidth="1"/>
    <col min="280" max="280" width="41.7109375" style="42" customWidth="1"/>
    <col min="281" max="281" width="9.28515625" style="42" customWidth="1"/>
    <col min="282" max="283" width="10.7109375" style="42" customWidth="1"/>
    <col min="284" max="284" width="15.7109375" style="42" customWidth="1"/>
    <col min="285" max="285" width="26.42578125" style="42" customWidth="1"/>
    <col min="286" max="286" width="17.42578125" style="42" customWidth="1"/>
    <col min="287" max="287" width="15.7109375" style="42" customWidth="1"/>
    <col min="288" max="512" width="9.140625" style="42"/>
    <col min="513" max="513" width="2" style="42" customWidth="1"/>
    <col min="514" max="514" width="3" style="42" customWidth="1"/>
    <col min="515" max="515" width="1.7109375" style="42" customWidth="1"/>
    <col min="516" max="516" width="16.140625" style="42" customWidth="1"/>
    <col min="517" max="517" width="17.140625" style="42" customWidth="1"/>
    <col min="518" max="518" width="13" style="42" customWidth="1"/>
    <col min="519" max="519" width="27" style="42" customWidth="1"/>
    <col min="520" max="520" width="11.140625" style="42" customWidth="1"/>
    <col min="521" max="521" width="24.7109375" style="42" customWidth="1"/>
    <col min="522" max="522" width="13.140625" style="42" customWidth="1"/>
    <col min="523" max="523" width="14" style="42" customWidth="1"/>
    <col min="524" max="524" width="17.140625" style="42" customWidth="1"/>
    <col min="525" max="525" width="15.7109375" style="42" customWidth="1"/>
    <col min="526" max="526" width="17.85546875" style="42" customWidth="1"/>
    <col min="527" max="527" width="21.7109375" style="42" customWidth="1"/>
    <col min="528" max="528" width="22.7109375" style="42" customWidth="1"/>
    <col min="529" max="529" width="1.7109375" style="42" customWidth="1"/>
    <col min="530" max="530" width="18.140625" style="42" customWidth="1"/>
    <col min="531" max="531" width="26.5703125" style="42" customWidth="1"/>
    <col min="532" max="532" width="15.85546875" style="42" customWidth="1"/>
    <col min="533" max="533" width="14" style="42" bestFit="1" customWidth="1"/>
    <col min="534" max="534" width="9.140625" style="42"/>
    <col min="535" max="535" width="25.85546875" style="42" customWidth="1"/>
    <col min="536" max="536" width="41.7109375" style="42" customWidth="1"/>
    <col min="537" max="537" width="9.28515625" style="42" customWidth="1"/>
    <col min="538" max="539" width="10.7109375" style="42" customWidth="1"/>
    <col min="540" max="540" width="15.7109375" style="42" customWidth="1"/>
    <col min="541" max="541" width="26.42578125" style="42" customWidth="1"/>
    <col min="542" max="542" width="17.42578125" style="42" customWidth="1"/>
    <col min="543" max="543" width="15.7109375" style="42" customWidth="1"/>
    <col min="544" max="768" width="9.140625" style="42"/>
    <col min="769" max="769" width="2" style="42" customWidth="1"/>
    <col min="770" max="770" width="3" style="42" customWidth="1"/>
    <col min="771" max="771" width="1.7109375" style="42" customWidth="1"/>
    <col min="772" max="772" width="16.140625" style="42" customWidth="1"/>
    <col min="773" max="773" width="17.140625" style="42" customWidth="1"/>
    <col min="774" max="774" width="13" style="42" customWidth="1"/>
    <col min="775" max="775" width="27" style="42" customWidth="1"/>
    <col min="776" max="776" width="11.140625" style="42" customWidth="1"/>
    <col min="777" max="777" width="24.7109375" style="42" customWidth="1"/>
    <col min="778" max="778" width="13.140625" style="42" customWidth="1"/>
    <col min="779" max="779" width="14" style="42" customWidth="1"/>
    <col min="780" max="780" width="17.140625" style="42" customWidth="1"/>
    <col min="781" max="781" width="15.7109375" style="42" customWidth="1"/>
    <col min="782" max="782" width="17.85546875" style="42" customWidth="1"/>
    <col min="783" max="783" width="21.7109375" style="42" customWidth="1"/>
    <col min="784" max="784" width="22.7109375" style="42" customWidth="1"/>
    <col min="785" max="785" width="1.7109375" style="42" customWidth="1"/>
    <col min="786" max="786" width="18.140625" style="42" customWidth="1"/>
    <col min="787" max="787" width="26.5703125" style="42" customWidth="1"/>
    <col min="788" max="788" width="15.85546875" style="42" customWidth="1"/>
    <col min="789" max="789" width="14" style="42" bestFit="1" customWidth="1"/>
    <col min="790" max="790" width="9.140625" style="42"/>
    <col min="791" max="791" width="25.85546875" style="42" customWidth="1"/>
    <col min="792" max="792" width="41.7109375" style="42" customWidth="1"/>
    <col min="793" max="793" width="9.28515625" style="42" customWidth="1"/>
    <col min="794" max="795" width="10.7109375" style="42" customWidth="1"/>
    <col min="796" max="796" width="15.7109375" style="42" customWidth="1"/>
    <col min="797" max="797" width="26.42578125" style="42" customWidth="1"/>
    <col min="798" max="798" width="17.42578125" style="42" customWidth="1"/>
    <col min="799" max="799" width="15.7109375" style="42" customWidth="1"/>
    <col min="800" max="1024" width="9.140625" style="42"/>
    <col min="1025" max="1025" width="2" style="42" customWidth="1"/>
    <col min="1026" max="1026" width="3" style="42" customWidth="1"/>
    <col min="1027" max="1027" width="1.7109375" style="42" customWidth="1"/>
    <col min="1028" max="1028" width="16.140625" style="42" customWidth="1"/>
    <col min="1029" max="1029" width="17.140625" style="42" customWidth="1"/>
    <col min="1030" max="1030" width="13" style="42" customWidth="1"/>
    <col min="1031" max="1031" width="27" style="42" customWidth="1"/>
    <col min="1032" max="1032" width="11.140625" style="42" customWidth="1"/>
    <col min="1033" max="1033" width="24.7109375" style="42" customWidth="1"/>
    <col min="1034" max="1034" width="13.140625" style="42" customWidth="1"/>
    <col min="1035" max="1035" width="14" style="42" customWidth="1"/>
    <col min="1036" max="1036" width="17.140625" style="42" customWidth="1"/>
    <col min="1037" max="1037" width="15.7109375" style="42" customWidth="1"/>
    <col min="1038" max="1038" width="17.85546875" style="42" customWidth="1"/>
    <col min="1039" max="1039" width="21.7109375" style="42" customWidth="1"/>
    <col min="1040" max="1040" width="22.7109375" style="42" customWidth="1"/>
    <col min="1041" max="1041" width="1.7109375" style="42" customWidth="1"/>
    <col min="1042" max="1042" width="18.140625" style="42" customWidth="1"/>
    <col min="1043" max="1043" width="26.5703125" style="42" customWidth="1"/>
    <col min="1044" max="1044" width="15.85546875" style="42" customWidth="1"/>
    <col min="1045" max="1045" width="14" style="42" bestFit="1" customWidth="1"/>
    <col min="1046" max="1046" width="9.140625" style="42"/>
    <col min="1047" max="1047" width="25.85546875" style="42" customWidth="1"/>
    <col min="1048" max="1048" width="41.7109375" style="42" customWidth="1"/>
    <col min="1049" max="1049" width="9.28515625" style="42" customWidth="1"/>
    <col min="1050" max="1051" width="10.7109375" style="42" customWidth="1"/>
    <col min="1052" max="1052" width="15.7109375" style="42" customWidth="1"/>
    <col min="1053" max="1053" width="26.42578125" style="42" customWidth="1"/>
    <col min="1054" max="1054" width="17.42578125" style="42" customWidth="1"/>
    <col min="1055" max="1055" width="15.7109375" style="42" customWidth="1"/>
    <col min="1056" max="1280" width="9.140625" style="42"/>
    <col min="1281" max="1281" width="2" style="42" customWidth="1"/>
    <col min="1282" max="1282" width="3" style="42" customWidth="1"/>
    <col min="1283" max="1283" width="1.7109375" style="42" customWidth="1"/>
    <col min="1284" max="1284" width="16.140625" style="42" customWidth="1"/>
    <col min="1285" max="1285" width="17.140625" style="42" customWidth="1"/>
    <col min="1286" max="1286" width="13" style="42" customWidth="1"/>
    <col min="1287" max="1287" width="27" style="42" customWidth="1"/>
    <col min="1288" max="1288" width="11.140625" style="42" customWidth="1"/>
    <col min="1289" max="1289" width="24.7109375" style="42" customWidth="1"/>
    <col min="1290" max="1290" width="13.140625" style="42" customWidth="1"/>
    <col min="1291" max="1291" width="14" style="42" customWidth="1"/>
    <col min="1292" max="1292" width="17.140625" style="42" customWidth="1"/>
    <col min="1293" max="1293" width="15.7109375" style="42" customWidth="1"/>
    <col min="1294" max="1294" width="17.85546875" style="42" customWidth="1"/>
    <col min="1295" max="1295" width="21.7109375" style="42" customWidth="1"/>
    <col min="1296" max="1296" width="22.7109375" style="42" customWidth="1"/>
    <col min="1297" max="1297" width="1.7109375" style="42" customWidth="1"/>
    <col min="1298" max="1298" width="18.140625" style="42" customWidth="1"/>
    <col min="1299" max="1299" width="26.5703125" style="42" customWidth="1"/>
    <col min="1300" max="1300" width="15.85546875" style="42" customWidth="1"/>
    <col min="1301" max="1301" width="14" style="42" bestFit="1" customWidth="1"/>
    <col min="1302" max="1302" width="9.140625" style="42"/>
    <col min="1303" max="1303" width="25.85546875" style="42" customWidth="1"/>
    <col min="1304" max="1304" width="41.7109375" style="42" customWidth="1"/>
    <col min="1305" max="1305" width="9.28515625" style="42" customWidth="1"/>
    <col min="1306" max="1307" width="10.7109375" style="42" customWidth="1"/>
    <col min="1308" max="1308" width="15.7109375" style="42" customWidth="1"/>
    <col min="1309" max="1309" width="26.42578125" style="42" customWidth="1"/>
    <col min="1310" max="1310" width="17.42578125" style="42" customWidth="1"/>
    <col min="1311" max="1311" width="15.7109375" style="42" customWidth="1"/>
    <col min="1312" max="1536" width="9.140625" style="42"/>
    <col min="1537" max="1537" width="2" style="42" customWidth="1"/>
    <col min="1538" max="1538" width="3" style="42" customWidth="1"/>
    <col min="1539" max="1539" width="1.7109375" style="42" customWidth="1"/>
    <col min="1540" max="1540" width="16.140625" style="42" customWidth="1"/>
    <col min="1541" max="1541" width="17.140625" style="42" customWidth="1"/>
    <col min="1542" max="1542" width="13" style="42" customWidth="1"/>
    <col min="1543" max="1543" width="27" style="42" customWidth="1"/>
    <col min="1544" max="1544" width="11.140625" style="42" customWidth="1"/>
    <col min="1545" max="1545" width="24.7109375" style="42" customWidth="1"/>
    <col min="1546" max="1546" width="13.140625" style="42" customWidth="1"/>
    <col min="1547" max="1547" width="14" style="42" customWidth="1"/>
    <col min="1548" max="1548" width="17.140625" style="42" customWidth="1"/>
    <col min="1549" max="1549" width="15.7109375" style="42" customWidth="1"/>
    <col min="1550" max="1550" width="17.85546875" style="42" customWidth="1"/>
    <col min="1551" max="1551" width="21.7109375" style="42" customWidth="1"/>
    <col min="1552" max="1552" width="22.7109375" style="42" customWidth="1"/>
    <col min="1553" max="1553" width="1.7109375" style="42" customWidth="1"/>
    <col min="1554" max="1554" width="18.140625" style="42" customWidth="1"/>
    <col min="1555" max="1555" width="26.5703125" style="42" customWidth="1"/>
    <col min="1556" max="1556" width="15.85546875" style="42" customWidth="1"/>
    <col min="1557" max="1557" width="14" style="42" bestFit="1" customWidth="1"/>
    <col min="1558" max="1558" width="9.140625" style="42"/>
    <col min="1559" max="1559" width="25.85546875" style="42" customWidth="1"/>
    <col min="1560" max="1560" width="41.7109375" style="42" customWidth="1"/>
    <col min="1561" max="1561" width="9.28515625" style="42" customWidth="1"/>
    <col min="1562" max="1563" width="10.7109375" style="42" customWidth="1"/>
    <col min="1564" max="1564" width="15.7109375" style="42" customWidth="1"/>
    <col min="1565" max="1565" width="26.42578125" style="42" customWidth="1"/>
    <col min="1566" max="1566" width="17.42578125" style="42" customWidth="1"/>
    <col min="1567" max="1567" width="15.7109375" style="42" customWidth="1"/>
    <col min="1568" max="1792" width="9.140625" style="42"/>
    <col min="1793" max="1793" width="2" style="42" customWidth="1"/>
    <col min="1794" max="1794" width="3" style="42" customWidth="1"/>
    <col min="1795" max="1795" width="1.7109375" style="42" customWidth="1"/>
    <col min="1796" max="1796" width="16.140625" style="42" customWidth="1"/>
    <col min="1797" max="1797" width="17.140625" style="42" customWidth="1"/>
    <col min="1798" max="1798" width="13" style="42" customWidth="1"/>
    <col min="1799" max="1799" width="27" style="42" customWidth="1"/>
    <col min="1800" max="1800" width="11.140625" style="42" customWidth="1"/>
    <col min="1801" max="1801" width="24.7109375" style="42" customWidth="1"/>
    <col min="1802" max="1802" width="13.140625" style="42" customWidth="1"/>
    <col min="1803" max="1803" width="14" style="42" customWidth="1"/>
    <col min="1804" max="1804" width="17.140625" style="42" customWidth="1"/>
    <col min="1805" max="1805" width="15.7109375" style="42" customWidth="1"/>
    <col min="1806" max="1806" width="17.85546875" style="42" customWidth="1"/>
    <col min="1807" max="1807" width="21.7109375" style="42" customWidth="1"/>
    <col min="1808" max="1808" width="22.7109375" style="42" customWidth="1"/>
    <col min="1809" max="1809" width="1.7109375" style="42" customWidth="1"/>
    <col min="1810" max="1810" width="18.140625" style="42" customWidth="1"/>
    <col min="1811" max="1811" width="26.5703125" style="42" customWidth="1"/>
    <col min="1812" max="1812" width="15.85546875" style="42" customWidth="1"/>
    <col min="1813" max="1813" width="14" style="42" bestFit="1" customWidth="1"/>
    <col min="1814" max="1814" width="9.140625" style="42"/>
    <col min="1815" max="1815" width="25.85546875" style="42" customWidth="1"/>
    <col min="1816" max="1816" width="41.7109375" style="42" customWidth="1"/>
    <col min="1817" max="1817" width="9.28515625" style="42" customWidth="1"/>
    <col min="1818" max="1819" width="10.7109375" style="42" customWidth="1"/>
    <col min="1820" max="1820" width="15.7109375" style="42" customWidth="1"/>
    <col min="1821" max="1821" width="26.42578125" style="42" customWidth="1"/>
    <col min="1822" max="1822" width="17.42578125" style="42" customWidth="1"/>
    <col min="1823" max="1823" width="15.7109375" style="42" customWidth="1"/>
    <col min="1824" max="2048" width="9.140625" style="42"/>
    <col min="2049" max="2049" width="2" style="42" customWidth="1"/>
    <col min="2050" max="2050" width="3" style="42" customWidth="1"/>
    <col min="2051" max="2051" width="1.7109375" style="42" customWidth="1"/>
    <col min="2052" max="2052" width="16.140625" style="42" customWidth="1"/>
    <col min="2053" max="2053" width="17.140625" style="42" customWidth="1"/>
    <col min="2054" max="2054" width="13" style="42" customWidth="1"/>
    <col min="2055" max="2055" width="27" style="42" customWidth="1"/>
    <col min="2056" max="2056" width="11.140625" style="42" customWidth="1"/>
    <col min="2057" max="2057" width="24.7109375" style="42" customWidth="1"/>
    <col min="2058" max="2058" width="13.140625" style="42" customWidth="1"/>
    <col min="2059" max="2059" width="14" style="42" customWidth="1"/>
    <col min="2060" max="2060" width="17.140625" style="42" customWidth="1"/>
    <col min="2061" max="2061" width="15.7109375" style="42" customWidth="1"/>
    <col min="2062" max="2062" width="17.85546875" style="42" customWidth="1"/>
    <col min="2063" max="2063" width="21.7109375" style="42" customWidth="1"/>
    <col min="2064" max="2064" width="22.7109375" style="42" customWidth="1"/>
    <col min="2065" max="2065" width="1.7109375" style="42" customWidth="1"/>
    <col min="2066" max="2066" width="18.140625" style="42" customWidth="1"/>
    <col min="2067" max="2067" width="26.5703125" style="42" customWidth="1"/>
    <col min="2068" max="2068" width="15.85546875" style="42" customWidth="1"/>
    <col min="2069" max="2069" width="14" style="42" bestFit="1" customWidth="1"/>
    <col min="2070" max="2070" width="9.140625" style="42"/>
    <col min="2071" max="2071" width="25.85546875" style="42" customWidth="1"/>
    <col min="2072" max="2072" width="41.7109375" style="42" customWidth="1"/>
    <col min="2073" max="2073" width="9.28515625" style="42" customWidth="1"/>
    <col min="2074" max="2075" width="10.7109375" style="42" customWidth="1"/>
    <col min="2076" max="2076" width="15.7109375" style="42" customWidth="1"/>
    <col min="2077" max="2077" width="26.42578125" style="42" customWidth="1"/>
    <col min="2078" max="2078" width="17.42578125" style="42" customWidth="1"/>
    <col min="2079" max="2079" width="15.7109375" style="42" customWidth="1"/>
    <col min="2080" max="2304" width="9.140625" style="42"/>
    <col min="2305" max="2305" width="2" style="42" customWidth="1"/>
    <col min="2306" max="2306" width="3" style="42" customWidth="1"/>
    <col min="2307" max="2307" width="1.7109375" style="42" customWidth="1"/>
    <col min="2308" max="2308" width="16.140625" style="42" customWidth="1"/>
    <col min="2309" max="2309" width="17.140625" style="42" customWidth="1"/>
    <col min="2310" max="2310" width="13" style="42" customWidth="1"/>
    <col min="2311" max="2311" width="27" style="42" customWidth="1"/>
    <col min="2312" max="2312" width="11.140625" style="42" customWidth="1"/>
    <col min="2313" max="2313" width="24.7109375" style="42" customWidth="1"/>
    <col min="2314" max="2314" width="13.140625" style="42" customWidth="1"/>
    <col min="2315" max="2315" width="14" style="42" customWidth="1"/>
    <col min="2316" max="2316" width="17.140625" style="42" customWidth="1"/>
    <col min="2317" max="2317" width="15.7109375" style="42" customWidth="1"/>
    <col min="2318" max="2318" width="17.85546875" style="42" customWidth="1"/>
    <col min="2319" max="2319" width="21.7109375" style="42" customWidth="1"/>
    <col min="2320" max="2320" width="22.7109375" style="42" customWidth="1"/>
    <col min="2321" max="2321" width="1.7109375" style="42" customWidth="1"/>
    <col min="2322" max="2322" width="18.140625" style="42" customWidth="1"/>
    <col min="2323" max="2323" width="26.5703125" style="42" customWidth="1"/>
    <col min="2324" max="2324" width="15.85546875" style="42" customWidth="1"/>
    <col min="2325" max="2325" width="14" style="42" bestFit="1" customWidth="1"/>
    <col min="2326" max="2326" width="9.140625" style="42"/>
    <col min="2327" max="2327" width="25.85546875" style="42" customWidth="1"/>
    <col min="2328" max="2328" width="41.7109375" style="42" customWidth="1"/>
    <col min="2329" max="2329" width="9.28515625" style="42" customWidth="1"/>
    <col min="2330" max="2331" width="10.7109375" style="42" customWidth="1"/>
    <col min="2332" max="2332" width="15.7109375" style="42" customWidth="1"/>
    <col min="2333" max="2333" width="26.42578125" style="42" customWidth="1"/>
    <col min="2334" max="2334" width="17.42578125" style="42" customWidth="1"/>
    <col min="2335" max="2335" width="15.7109375" style="42" customWidth="1"/>
    <col min="2336" max="2560" width="9.140625" style="42"/>
    <col min="2561" max="2561" width="2" style="42" customWidth="1"/>
    <col min="2562" max="2562" width="3" style="42" customWidth="1"/>
    <col min="2563" max="2563" width="1.7109375" style="42" customWidth="1"/>
    <col min="2564" max="2564" width="16.140625" style="42" customWidth="1"/>
    <col min="2565" max="2565" width="17.140625" style="42" customWidth="1"/>
    <col min="2566" max="2566" width="13" style="42" customWidth="1"/>
    <col min="2567" max="2567" width="27" style="42" customWidth="1"/>
    <col min="2568" max="2568" width="11.140625" style="42" customWidth="1"/>
    <col min="2569" max="2569" width="24.7109375" style="42" customWidth="1"/>
    <col min="2570" max="2570" width="13.140625" style="42" customWidth="1"/>
    <col min="2571" max="2571" width="14" style="42" customWidth="1"/>
    <col min="2572" max="2572" width="17.140625" style="42" customWidth="1"/>
    <col min="2573" max="2573" width="15.7109375" style="42" customWidth="1"/>
    <col min="2574" max="2574" width="17.85546875" style="42" customWidth="1"/>
    <col min="2575" max="2575" width="21.7109375" style="42" customWidth="1"/>
    <col min="2576" max="2576" width="22.7109375" style="42" customWidth="1"/>
    <col min="2577" max="2577" width="1.7109375" style="42" customWidth="1"/>
    <col min="2578" max="2578" width="18.140625" style="42" customWidth="1"/>
    <col min="2579" max="2579" width="26.5703125" style="42" customWidth="1"/>
    <col min="2580" max="2580" width="15.85546875" style="42" customWidth="1"/>
    <col min="2581" max="2581" width="14" style="42" bestFit="1" customWidth="1"/>
    <col min="2582" max="2582" width="9.140625" style="42"/>
    <col min="2583" max="2583" width="25.85546875" style="42" customWidth="1"/>
    <col min="2584" max="2584" width="41.7109375" style="42" customWidth="1"/>
    <col min="2585" max="2585" width="9.28515625" style="42" customWidth="1"/>
    <col min="2586" max="2587" width="10.7109375" style="42" customWidth="1"/>
    <col min="2588" max="2588" width="15.7109375" style="42" customWidth="1"/>
    <col min="2589" max="2589" width="26.42578125" style="42" customWidth="1"/>
    <col min="2590" max="2590" width="17.42578125" style="42" customWidth="1"/>
    <col min="2591" max="2591" width="15.7109375" style="42" customWidth="1"/>
    <col min="2592" max="2816" width="9.140625" style="42"/>
    <col min="2817" max="2817" width="2" style="42" customWidth="1"/>
    <col min="2818" max="2818" width="3" style="42" customWidth="1"/>
    <col min="2819" max="2819" width="1.7109375" style="42" customWidth="1"/>
    <col min="2820" max="2820" width="16.140625" style="42" customWidth="1"/>
    <col min="2821" max="2821" width="17.140625" style="42" customWidth="1"/>
    <col min="2822" max="2822" width="13" style="42" customWidth="1"/>
    <col min="2823" max="2823" width="27" style="42" customWidth="1"/>
    <col min="2824" max="2824" width="11.140625" style="42" customWidth="1"/>
    <col min="2825" max="2825" width="24.7109375" style="42" customWidth="1"/>
    <col min="2826" max="2826" width="13.140625" style="42" customWidth="1"/>
    <col min="2827" max="2827" width="14" style="42" customWidth="1"/>
    <col min="2828" max="2828" width="17.140625" style="42" customWidth="1"/>
    <col min="2829" max="2829" width="15.7109375" style="42" customWidth="1"/>
    <col min="2830" max="2830" width="17.85546875" style="42" customWidth="1"/>
    <col min="2831" max="2831" width="21.7109375" style="42" customWidth="1"/>
    <col min="2832" max="2832" width="22.7109375" style="42" customWidth="1"/>
    <col min="2833" max="2833" width="1.7109375" style="42" customWidth="1"/>
    <col min="2834" max="2834" width="18.140625" style="42" customWidth="1"/>
    <col min="2835" max="2835" width="26.5703125" style="42" customWidth="1"/>
    <col min="2836" max="2836" width="15.85546875" style="42" customWidth="1"/>
    <col min="2837" max="2837" width="14" style="42" bestFit="1" customWidth="1"/>
    <col min="2838" max="2838" width="9.140625" style="42"/>
    <col min="2839" max="2839" width="25.85546875" style="42" customWidth="1"/>
    <col min="2840" max="2840" width="41.7109375" style="42" customWidth="1"/>
    <col min="2841" max="2841" width="9.28515625" style="42" customWidth="1"/>
    <col min="2842" max="2843" width="10.7109375" style="42" customWidth="1"/>
    <col min="2844" max="2844" width="15.7109375" style="42" customWidth="1"/>
    <col min="2845" max="2845" width="26.42578125" style="42" customWidth="1"/>
    <col min="2846" max="2846" width="17.42578125" style="42" customWidth="1"/>
    <col min="2847" max="2847" width="15.7109375" style="42" customWidth="1"/>
    <col min="2848" max="3072" width="9.140625" style="42"/>
    <col min="3073" max="3073" width="2" style="42" customWidth="1"/>
    <col min="3074" max="3074" width="3" style="42" customWidth="1"/>
    <col min="3075" max="3075" width="1.7109375" style="42" customWidth="1"/>
    <col min="3076" max="3076" width="16.140625" style="42" customWidth="1"/>
    <col min="3077" max="3077" width="17.140625" style="42" customWidth="1"/>
    <col min="3078" max="3078" width="13" style="42" customWidth="1"/>
    <col min="3079" max="3079" width="27" style="42" customWidth="1"/>
    <col min="3080" max="3080" width="11.140625" style="42" customWidth="1"/>
    <col min="3081" max="3081" width="24.7109375" style="42" customWidth="1"/>
    <col min="3082" max="3082" width="13.140625" style="42" customWidth="1"/>
    <col min="3083" max="3083" width="14" style="42" customWidth="1"/>
    <col min="3084" max="3084" width="17.140625" style="42" customWidth="1"/>
    <col min="3085" max="3085" width="15.7109375" style="42" customWidth="1"/>
    <col min="3086" max="3086" width="17.85546875" style="42" customWidth="1"/>
    <col min="3087" max="3087" width="21.7109375" style="42" customWidth="1"/>
    <col min="3088" max="3088" width="22.7109375" style="42" customWidth="1"/>
    <col min="3089" max="3089" width="1.7109375" style="42" customWidth="1"/>
    <col min="3090" max="3090" width="18.140625" style="42" customWidth="1"/>
    <col min="3091" max="3091" width="26.5703125" style="42" customWidth="1"/>
    <col min="3092" max="3092" width="15.85546875" style="42" customWidth="1"/>
    <col min="3093" max="3093" width="14" style="42" bestFit="1" customWidth="1"/>
    <col min="3094" max="3094" width="9.140625" style="42"/>
    <col min="3095" max="3095" width="25.85546875" style="42" customWidth="1"/>
    <col min="3096" max="3096" width="41.7109375" style="42" customWidth="1"/>
    <col min="3097" max="3097" width="9.28515625" style="42" customWidth="1"/>
    <col min="3098" max="3099" width="10.7109375" style="42" customWidth="1"/>
    <col min="3100" max="3100" width="15.7109375" style="42" customWidth="1"/>
    <col min="3101" max="3101" width="26.42578125" style="42" customWidth="1"/>
    <col min="3102" max="3102" width="17.42578125" style="42" customWidth="1"/>
    <col min="3103" max="3103" width="15.7109375" style="42" customWidth="1"/>
    <col min="3104" max="3328" width="9.140625" style="42"/>
    <col min="3329" max="3329" width="2" style="42" customWidth="1"/>
    <col min="3330" max="3330" width="3" style="42" customWidth="1"/>
    <col min="3331" max="3331" width="1.7109375" style="42" customWidth="1"/>
    <col min="3332" max="3332" width="16.140625" style="42" customWidth="1"/>
    <col min="3333" max="3333" width="17.140625" style="42" customWidth="1"/>
    <col min="3334" max="3334" width="13" style="42" customWidth="1"/>
    <col min="3335" max="3335" width="27" style="42" customWidth="1"/>
    <col min="3336" max="3336" width="11.140625" style="42" customWidth="1"/>
    <col min="3337" max="3337" width="24.7109375" style="42" customWidth="1"/>
    <col min="3338" max="3338" width="13.140625" style="42" customWidth="1"/>
    <col min="3339" max="3339" width="14" style="42" customWidth="1"/>
    <col min="3340" max="3340" width="17.140625" style="42" customWidth="1"/>
    <col min="3341" max="3341" width="15.7109375" style="42" customWidth="1"/>
    <col min="3342" max="3342" width="17.85546875" style="42" customWidth="1"/>
    <col min="3343" max="3343" width="21.7109375" style="42" customWidth="1"/>
    <col min="3344" max="3344" width="22.7109375" style="42" customWidth="1"/>
    <col min="3345" max="3345" width="1.7109375" style="42" customWidth="1"/>
    <col min="3346" max="3346" width="18.140625" style="42" customWidth="1"/>
    <col min="3347" max="3347" width="26.5703125" style="42" customWidth="1"/>
    <col min="3348" max="3348" width="15.85546875" style="42" customWidth="1"/>
    <col min="3349" max="3349" width="14" style="42" bestFit="1" customWidth="1"/>
    <col min="3350" max="3350" width="9.140625" style="42"/>
    <col min="3351" max="3351" width="25.85546875" style="42" customWidth="1"/>
    <col min="3352" max="3352" width="41.7109375" style="42" customWidth="1"/>
    <col min="3353" max="3353" width="9.28515625" style="42" customWidth="1"/>
    <col min="3354" max="3355" width="10.7109375" style="42" customWidth="1"/>
    <col min="3356" max="3356" width="15.7109375" style="42" customWidth="1"/>
    <col min="3357" max="3357" width="26.42578125" style="42" customWidth="1"/>
    <col min="3358" max="3358" width="17.42578125" style="42" customWidth="1"/>
    <col min="3359" max="3359" width="15.7109375" style="42" customWidth="1"/>
    <col min="3360" max="3584" width="9.140625" style="42"/>
    <col min="3585" max="3585" width="2" style="42" customWidth="1"/>
    <col min="3586" max="3586" width="3" style="42" customWidth="1"/>
    <col min="3587" max="3587" width="1.7109375" style="42" customWidth="1"/>
    <col min="3588" max="3588" width="16.140625" style="42" customWidth="1"/>
    <col min="3589" max="3589" width="17.140625" style="42" customWidth="1"/>
    <col min="3590" max="3590" width="13" style="42" customWidth="1"/>
    <col min="3591" max="3591" width="27" style="42" customWidth="1"/>
    <col min="3592" max="3592" width="11.140625" style="42" customWidth="1"/>
    <col min="3593" max="3593" width="24.7109375" style="42" customWidth="1"/>
    <col min="3594" max="3594" width="13.140625" style="42" customWidth="1"/>
    <col min="3595" max="3595" width="14" style="42" customWidth="1"/>
    <col min="3596" max="3596" width="17.140625" style="42" customWidth="1"/>
    <col min="3597" max="3597" width="15.7109375" style="42" customWidth="1"/>
    <col min="3598" max="3598" width="17.85546875" style="42" customWidth="1"/>
    <col min="3599" max="3599" width="21.7109375" style="42" customWidth="1"/>
    <col min="3600" max="3600" width="22.7109375" style="42" customWidth="1"/>
    <col min="3601" max="3601" width="1.7109375" style="42" customWidth="1"/>
    <col min="3602" max="3602" width="18.140625" style="42" customWidth="1"/>
    <col min="3603" max="3603" width="26.5703125" style="42" customWidth="1"/>
    <col min="3604" max="3604" width="15.85546875" style="42" customWidth="1"/>
    <col min="3605" max="3605" width="14" style="42" bestFit="1" customWidth="1"/>
    <col min="3606" max="3606" width="9.140625" style="42"/>
    <col min="3607" max="3607" width="25.85546875" style="42" customWidth="1"/>
    <col min="3608" max="3608" width="41.7109375" style="42" customWidth="1"/>
    <col min="3609" max="3609" width="9.28515625" style="42" customWidth="1"/>
    <col min="3610" max="3611" width="10.7109375" style="42" customWidth="1"/>
    <col min="3612" max="3612" width="15.7109375" style="42" customWidth="1"/>
    <col min="3613" max="3613" width="26.42578125" style="42" customWidth="1"/>
    <col min="3614" max="3614" width="17.42578125" style="42" customWidth="1"/>
    <col min="3615" max="3615" width="15.7109375" style="42" customWidth="1"/>
    <col min="3616" max="3840" width="9.140625" style="42"/>
    <col min="3841" max="3841" width="2" style="42" customWidth="1"/>
    <col min="3842" max="3842" width="3" style="42" customWidth="1"/>
    <col min="3843" max="3843" width="1.7109375" style="42" customWidth="1"/>
    <col min="3844" max="3844" width="16.140625" style="42" customWidth="1"/>
    <col min="3845" max="3845" width="17.140625" style="42" customWidth="1"/>
    <col min="3846" max="3846" width="13" style="42" customWidth="1"/>
    <col min="3847" max="3847" width="27" style="42" customWidth="1"/>
    <col min="3848" max="3848" width="11.140625" style="42" customWidth="1"/>
    <col min="3849" max="3849" width="24.7109375" style="42" customWidth="1"/>
    <col min="3850" max="3850" width="13.140625" style="42" customWidth="1"/>
    <col min="3851" max="3851" width="14" style="42" customWidth="1"/>
    <col min="3852" max="3852" width="17.140625" style="42" customWidth="1"/>
    <col min="3853" max="3853" width="15.7109375" style="42" customWidth="1"/>
    <col min="3854" max="3854" width="17.85546875" style="42" customWidth="1"/>
    <col min="3855" max="3855" width="21.7109375" style="42" customWidth="1"/>
    <col min="3856" max="3856" width="22.7109375" style="42" customWidth="1"/>
    <col min="3857" max="3857" width="1.7109375" style="42" customWidth="1"/>
    <col min="3858" max="3858" width="18.140625" style="42" customWidth="1"/>
    <col min="3859" max="3859" width="26.5703125" style="42" customWidth="1"/>
    <col min="3860" max="3860" width="15.85546875" style="42" customWidth="1"/>
    <col min="3861" max="3861" width="14" style="42" bestFit="1" customWidth="1"/>
    <col min="3862" max="3862" width="9.140625" style="42"/>
    <col min="3863" max="3863" width="25.85546875" style="42" customWidth="1"/>
    <col min="3864" max="3864" width="41.7109375" style="42" customWidth="1"/>
    <col min="3865" max="3865" width="9.28515625" style="42" customWidth="1"/>
    <col min="3866" max="3867" width="10.7109375" style="42" customWidth="1"/>
    <col min="3868" max="3868" width="15.7109375" style="42" customWidth="1"/>
    <col min="3869" max="3869" width="26.42578125" style="42" customWidth="1"/>
    <col min="3870" max="3870" width="17.42578125" style="42" customWidth="1"/>
    <col min="3871" max="3871" width="15.7109375" style="42" customWidth="1"/>
    <col min="3872" max="4096" width="9.140625" style="42"/>
    <col min="4097" max="4097" width="2" style="42" customWidth="1"/>
    <col min="4098" max="4098" width="3" style="42" customWidth="1"/>
    <col min="4099" max="4099" width="1.7109375" style="42" customWidth="1"/>
    <col min="4100" max="4100" width="16.140625" style="42" customWidth="1"/>
    <col min="4101" max="4101" width="17.140625" style="42" customWidth="1"/>
    <col min="4102" max="4102" width="13" style="42" customWidth="1"/>
    <col min="4103" max="4103" width="27" style="42" customWidth="1"/>
    <col min="4104" max="4104" width="11.140625" style="42" customWidth="1"/>
    <col min="4105" max="4105" width="24.7109375" style="42" customWidth="1"/>
    <col min="4106" max="4106" width="13.140625" style="42" customWidth="1"/>
    <col min="4107" max="4107" width="14" style="42" customWidth="1"/>
    <col min="4108" max="4108" width="17.140625" style="42" customWidth="1"/>
    <col min="4109" max="4109" width="15.7109375" style="42" customWidth="1"/>
    <col min="4110" max="4110" width="17.85546875" style="42" customWidth="1"/>
    <col min="4111" max="4111" width="21.7109375" style="42" customWidth="1"/>
    <col min="4112" max="4112" width="22.7109375" style="42" customWidth="1"/>
    <col min="4113" max="4113" width="1.7109375" style="42" customWidth="1"/>
    <col min="4114" max="4114" width="18.140625" style="42" customWidth="1"/>
    <col min="4115" max="4115" width="26.5703125" style="42" customWidth="1"/>
    <col min="4116" max="4116" width="15.85546875" style="42" customWidth="1"/>
    <col min="4117" max="4117" width="14" style="42" bestFit="1" customWidth="1"/>
    <col min="4118" max="4118" width="9.140625" style="42"/>
    <col min="4119" max="4119" width="25.85546875" style="42" customWidth="1"/>
    <col min="4120" max="4120" width="41.7109375" style="42" customWidth="1"/>
    <col min="4121" max="4121" width="9.28515625" style="42" customWidth="1"/>
    <col min="4122" max="4123" width="10.7109375" style="42" customWidth="1"/>
    <col min="4124" max="4124" width="15.7109375" style="42" customWidth="1"/>
    <col min="4125" max="4125" width="26.42578125" style="42" customWidth="1"/>
    <col min="4126" max="4126" width="17.42578125" style="42" customWidth="1"/>
    <col min="4127" max="4127" width="15.7109375" style="42" customWidth="1"/>
    <col min="4128" max="4352" width="9.140625" style="42"/>
    <col min="4353" max="4353" width="2" style="42" customWidth="1"/>
    <col min="4354" max="4354" width="3" style="42" customWidth="1"/>
    <col min="4355" max="4355" width="1.7109375" style="42" customWidth="1"/>
    <col min="4356" max="4356" width="16.140625" style="42" customWidth="1"/>
    <col min="4357" max="4357" width="17.140625" style="42" customWidth="1"/>
    <col min="4358" max="4358" width="13" style="42" customWidth="1"/>
    <col min="4359" max="4359" width="27" style="42" customWidth="1"/>
    <col min="4360" max="4360" width="11.140625" style="42" customWidth="1"/>
    <col min="4361" max="4361" width="24.7109375" style="42" customWidth="1"/>
    <col min="4362" max="4362" width="13.140625" style="42" customWidth="1"/>
    <col min="4363" max="4363" width="14" style="42" customWidth="1"/>
    <col min="4364" max="4364" width="17.140625" style="42" customWidth="1"/>
    <col min="4365" max="4365" width="15.7109375" style="42" customWidth="1"/>
    <col min="4366" max="4366" width="17.85546875" style="42" customWidth="1"/>
    <col min="4367" max="4367" width="21.7109375" style="42" customWidth="1"/>
    <col min="4368" max="4368" width="22.7109375" style="42" customWidth="1"/>
    <col min="4369" max="4369" width="1.7109375" style="42" customWidth="1"/>
    <col min="4370" max="4370" width="18.140625" style="42" customWidth="1"/>
    <col min="4371" max="4371" width="26.5703125" style="42" customWidth="1"/>
    <col min="4372" max="4372" width="15.85546875" style="42" customWidth="1"/>
    <col min="4373" max="4373" width="14" style="42" bestFit="1" customWidth="1"/>
    <col min="4374" max="4374" width="9.140625" style="42"/>
    <col min="4375" max="4375" width="25.85546875" style="42" customWidth="1"/>
    <col min="4376" max="4376" width="41.7109375" style="42" customWidth="1"/>
    <col min="4377" max="4377" width="9.28515625" style="42" customWidth="1"/>
    <col min="4378" max="4379" width="10.7109375" style="42" customWidth="1"/>
    <col min="4380" max="4380" width="15.7109375" style="42" customWidth="1"/>
    <col min="4381" max="4381" width="26.42578125" style="42" customWidth="1"/>
    <col min="4382" max="4382" width="17.42578125" style="42" customWidth="1"/>
    <col min="4383" max="4383" width="15.7109375" style="42" customWidth="1"/>
    <col min="4384" max="4608" width="9.140625" style="42"/>
    <col min="4609" max="4609" width="2" style="42" customWidth="1"/>
    <col min="4610" max="4610" width="3" style="42" customWidth="1"/>
    <col min="4611" max="4611" width="1.7109375" style="42" customWidth="1"/>
    <col min="4612" max="4612" width="16.140625" style="42" customWidth="1"/>
    <col min="4613" max="4613" width="17.140625" style="42" customWidth="1"/>
    <col min="4614" max="4614" width="13" style="42" customWidth="1"/>
    <col min="4615" max="4615" width="27" style="42" customWidth="1"/>
    <col min="4616" max="4616" width="11.140625" style="42" customWidth="1"/>
    <col min="4617" max="4617" width="24.7109375" style="42" customWidth="1"/>
    <col min="4618" max="4618" width="13.140625" style="42" customWidth="1"/>
    <col min="4619" max="4619" width="14" style="42" customWidth="1"/>
    <col min="4620" max="4620" width="17.140625" style="42" customWidth="1"/>
    <col min="4621" max="4621" width="15.7109375" style="42" customWidth="1"/>
    <col min="4622" max="4622" width="17.85546875" style="42" customWidth="1"/>
    <col min="4623" max="4623" width="21.7109375" style="42" customWidth="1"/>
    <col min="4624" max="4624" width="22.7109375" style="42" customWidth="1"/>
    <col min="4625" max="4625" width="1.7109375" style="42" customWidth="1"/>
    <col min="4626" max="4626" width="18.140625" style="42" customWidth="1"/>
    <col min="4627" max="4627" width="26.5703125" style="42" customWidth="1"/>
    <col min="4628" max="4628" width="15.85546875" style="42" customWidth="1"/>
    <col min="4629" max="4629" width="14" style="42" bestFit="1" customWidth="1"/>
    <col min="4630" max="4630" width="9.140625" style="42"/>
    <col min="4631" max="4631" width="25.85546875" style="42" customWidth="1"/>
    <col min="4632" max="4632" width="41.7109375" style="42" customWidth="1"/>
    <col min="4633" max="4633" width="9.28515625" style="42" customWidth="1"/>
    <col min="4634" max="4635" width="10.7109375" style="42" customWidth="1"/>
    <col min="4636" max="4636" width="15.7109375" style="42" customWidth="1"/>
    <col min="4637" max="4637" width="26.42578125" style="42" customWidth="1"/>
    <col min="4638" max="4638" width="17.42578125" style="42" customWidth="1"/>
    <col min="4639" max="4639" width="15.7109375" style="42" customWidth="1"/>
    <col min="4640" max="4864" width="9.140625" style="42"/>
    <col min="4865" max="4865" width="2" style="42" customWidth="1"/>
    <col min="4866" max="4866" width="3" style="42" customWidth="1"/>
    <col min="4867" max="4867" width="1.7109375" style="42" customWidth="1"/>
    <col min="4868" max="4868" width="16.140625" style="42" customWidth="1"/>
    <col min="4869" max="4869" width="17.140625" style="42" customWidth="1"/>
    <col min="4870" max="4870" width="13" style="42" customWidth="1"/>
    <col min="4871" max="4871" width="27" style="42" customWidth="1"/>
    <col min="4872" max="4872" width="11.140625" style="42" customWidth="1"/>
    <col min="4873" max="4873" width="24.7109375" style="42" customWidth="1"/>
    <col min="4874" max="4874" width="13.140625" style="42" customWidth="1"/>
    <col min="4875" max="4875" width="14" style="42" customWidth="1"/>
    <col min="4876" max="4876" width="17.140625" style="42" customWidth="1"/>
    <col min="4877" max="4877" width="15.7109375" style="42" customWidth="1"/>
    <col min="4878" max="4878" width="17.85546875" style="42" customWidth="1"/>
    <col min="4879" max="4879" width="21.7109375" style="42" customWidth="1"/>
    <col min="4880" max="4880" width="22.7109375" style="42" customWidth="1"/>
    <col min="4881" max="4881" width="1.7109375" style="42" customWidth="1"/>
    <col min="4882" max="4882" width="18.140625" style="42" customWidth="1"/>
    <col min="4883" max="4883" width="26.5703125" style="42" customWidth="1"/>
    <col min="4884" max="4884" width="15.85546875" style="42" customWidth="1"/>
    <col min="4885" max="4885" width="14" style="42" bestFit="1" customWidth="1"/>
    <col min="4886" max="4886" width="9.140625" style="42"/>
    <col min="4887" max="4887" width="25.85546875" style="42" customWidth="1"/>
    <col min="4888" max="4888" width="41.7109375" style="42" customWidth="1"/>
    <col min="4889" max="4889" width="9.28515625" style="42" customWidth="1"/>
    <col min="4890" max="4891" width="10.7109375" style="42" customWidth="1"/>
    <col min="4892" max="4892" width="15.7109375" style="42" customWidth="1"/>
    <col min="4893" max="4893" width="26.42578125" style="42" customWidth="1"/>
    <col min="4894" max="4894" width="17.42578125" style="42" customWidth="1"/>
    <col min="4895" max="4895" width="15.7109375" style="42" customWidth="1"/>
    <col min="4896" max="5120" width="9.140625" style="42"/>
    <col min="5121" max="5121" width="2" style="42" customWidth="1"/>
    <col min="5122" max="5122" width="3" style="42" customWidth="1"/>
    <col min="5123" max="5123" width="1.7109375" style="42" customWidth="1"/>
    <col min="5124" max="5124" width="16.140625" style="42" customWidth="1"/>
    <col min="5125" max="5125" width="17.140625" style="42" customWidth="1"/>
    <col min="5126" max="5126" width="13" style="42" customWidth="1"/>
    <col min="5127" max="5127" width="27" style="42" customWidth="1"/>
    <col min="5128" max="5128" width="11.140625" style="42" customWidth="1"/>
    <col min="5129" max="5129" width="24.7109375" style="42" customWidth="1"/>
    <col min="5130" max="5130" width="13.140625" style="42" customWidth="1"/>
    <col min="5131" max="5131" width="14" style="42" customWidth="1"/>
    <col min="5132" max="5132" width="17.140625" style="42" customWidth="1"/>
    <col min="5133" max="5133" width="15.7109375" style="42" customWidth="1"/>
    <col min="5134" max="5134" width="17.85546875" style="42" customWidth="1"/>
    <col min="5135" max="5135" width="21.7109375" style="42" customWidth="1"/>
    <col min="5136" max="5136" width="22.7109375" style="42" customWidth="1"/>
    <col min="5137" max="5137" width="1.7109375" style="42" customWidth="1"/>
    <col min="5138" max="5138" width="18.140625" style="42" customWidth="1"/>
    <col min="5139" max="5139" width="26.5703125" style="42" customWidth="1"/>
    <col min="5140" max="5140" width="15.85546875" style="42" customWidth="1"/>
    <col min="5141" max="5141" width="14" style="42" bestFit="1" customWidth="1"/>
    <col min="5142" max="5142" width="9.140625" style="42"/>
    <col min="5143" max="5143" width="25.85546875" style="42" customWidth="1"/>
    <col min="5144" max="5144" width="41.7109375" style="42" customWidth="1"/>
    <col min="5145" max="5145" width="9.28515625" style="42" customWidth="1"/>
    <col min="5146" max="5147" width="10.7109375" style="42" customWidth="1"/>
    <col min="5148" max="5148" width="15.7109375" style="42" customWidth="1"/>
    <col min="5149" max="5149" width="26.42578125" style="42" customWidth="1"/>
    <col min="5150" max="5150" width="17.42578125" style="42" customWidth="1"/>
    <col min="5151" max="5151" width="15.7109375" style="42" customWidth="1"/>
    <col min="5152" max="5376" width="9.140625" style="42"/>
    <col min="5377" max="5377" width="2" style="42" customWidth="1"/>
    <col min="5378" max="5378" width="3" style="42" customWidth="1"/>
    <col min="5379" max="5379" width="1.7109375" style="42" customWidth="1"/>
    <col min="5380" max="5380" width="16.140625" style="42" customWidth="1"/>
    <col min="5381" max="5381" width="17.140625" style="42" customWidth="1"/>
    <col min="5382" max="5382" width="13" style="42" customWidth="1"/>
    <col min="5383" max="5383" width="27" style="42" customWidth="1"/>
    <col min="5384" max="5384" width="11.140625" style="42" customWidth="1"/>
    <col min="5385" max="5385" width="24.7109375" style="42" customWidth="1"/>
    <col min="5386" max="5386" width="13.140625" style="42" customWidth="1"/>
    <col min="5387" max="5387" width="14" style="42" customWidth="1"/>
    <col min="5388" max="5388" width="17.140625" style="42" customWidth="1"/>
    <col min="5389" max="5389" width="15.7109375" style="42" customWidth="1"/>
    <col min="5390" max="5390" width="17.85546875" style="42" customWidth="1"/>
    <col min="5391" max="5391" width="21.7109375" style="42" customWidth="1"/>
    <col min="5392" max="5392" width="22.7109375" style="42" customWidth="1"/>
    <col min="5393" max="5393" width="1.7109375" style="42" customWidth="1"/>
    <col min="5394" max="5394" width="18.140625" style="42" customWidth="1"/>
    <col min="5395" max="5395" width="26.5703125" style="42" customWidth="1"/>
    <col min="5396" max="5396" width="15.85546875" style="42" customWidth="1"/>
    <col min="5397" max="5397" width="14" style="42" bestFit="1" customWidth="1"/>
    <col min="5398" max="5398" width="9.140625" style="42"/>
    <col min="5399" max="5399" width="25.85546875" style="42" customWidth="1"/>
    <col min="5400" max="5400" width="41.7109375" style="42" customWidth="1"/>
    <col min="5401" max="5401" width="9.28515625" style="42" customWidth="1"/>
    <col min="5402" max="5403" width="10.7109375" style="42" customWidth="1"/>
    <col min="5404" max="5404" width="15.7109375" style="42" customWidth="1"/>
    <col min="5405" max="5405" width="26.42578125" style="42" customWidth="1"/>
    <col min="5406" max="5406" width="17.42578125" style="42" customWidth="1"/>
    <col min="5407" max="5407" width="15.7109375" style="42" customWidth="1"/>
    <col min="5408" max="5632" width="9.140625" style="42"/>
    <col min="5633" max="5633" width="2" style="42" customWidth="1"/>
    <col min="5634" max="5634" width="3" style="42" customWidth="1"/>
    <col min="5635" max="5635" width="1.7109375" style="42" customWidth="1"/>
    <col min="5636" max="5636" width="16.140625" style="42" customWidth="1"/>
    <col min="5637" max="5637" width="17.140625" style="42" customWidth="1"/>
    <col min="5638" max="5638" width="13" style="42" customWidth="1"/>
    <col min="5639" max="5639" width="27" style="42" customWidth="1"/>
    <col min="5640" max="5640" width="11.140625" style="42" customWidth="1"/>
    <col min="5641" max="5641" width="24.7109375" style="42" customWidth="1"/>
    <col min="5642" max="5642" width="13.140625" style="42" customWidth="1"/>
    <col min="5643" max="5643" width="14" style="42" customWidth="1"/>
    <col min="5644" max="5644" width="17.140625" style="42" customWidth="1"/>
    <col min="5645" max="5645" width="15.7109375" style="42" customWidth="1"/>
    <col min="5646" max="5646" width="17.85546875" style="42" customWidth="1"/>
    <col min="5647" max="5647" width="21.7109375" style="42" customWidth="1"/>
    <col min="5648" max="5648" width="22.7109375" style="42" customWidth="1"/>
    <col min="5649" max="5649" width="1.7109375" style="42" customWidth="1"/>
    <col min="5650" max="5650" width="18.140625" style="42" customWidth="1"/>
    <col min="5651" max="5651" width="26.5703125" style="42" customWidth="1"/>
    <col min="5652" max="5652" width="15.85546875" style="42" customWidth="1"/>
    <col min="5653" max="5653" width="14" style="42" bestFit="1" customWidth="1"/>
    <col min="5654" max="5654" width="9.140625" style="42"/>
    <col min="5655" max="5655" width="25.85546875" style="42" customWidth="1"/>
    <col min="5656" max="5656" width="41.7109375" style="42" customWidth="1"/>
    <col min="5657" max="5657" width="9.28515625" style="42" customWidth="1"/>
    <col min="5658" max="5659" width="10.7109375" style="42" customWidth="1"/>
    <col min="5660" max="5660" width="15.7109375" style="42" customWidth="1"/>
    <col min="5661" max="5661" width="26.42578125" style="42" customWidth="1"/>
    <col min="5662" max="5662" width="17.42578125" style="42" customWidth="1"/>
    <col min="5663" max="5663" width="15.7109375" style="42" customWidth="1"/>
    <col min="5664" max="5888" width="9.140625" style="42"/>
    <col min="5889" max="5889" width="2" style="42" customWidth="1"/>
    <col min="5890" max="5890" width="3" style="42" customWidth="1"/>
    <col min="5891" max="5891" width="1.7109375" style="42" customWidth="1"/>
    <col min="5892" max="5892" width="16.140625" style="42" customWidth="1"/>
    <col min="5893" max="5893" width="17.140625" style="42" customWidth="1"/>
    <col min="5894" max="5894" width="13" style="42" customWidth="1"/>
    <col min="5895" max="5895" width="27" style="42" customWidth="1"/>
    <col min="5896" max="5896" width="11.140625" style="42" customWidth="1"/>
    <col min="5897" max="5897" width="24.7109375" style="42" customWidth="1"/>
    <col min="5898" max="5898" width="13.140625" style="42" customWidth="1"/>
    <col min="5899" max="5899" width="14" style="42" customWidth="1"/>
    <col min="5900" max="5900" width="17.140625" style="42" customWidth="1"/>
    <col min="5901" max="5901" width="15.7109375" style="42" customWidth="1"/>
    <col min="5902" max="5902" width="17.85546875" style="42" customWidth="1"/>
    <col min="5903" max="5903" width="21.7109375" style="42" customWidth="1"/>
    <col min="5904" max="5904" width="22.7109375" style="42" customWidth="1"/>
    <col min="5905" max="5905" width="1.7109375" style="42" customWidth="1"/>
    <col min="5906" max="5906" width="18.140625" style="42" customWidth="1"/>
    <col min="5907" max="5907" width="26.5703125" style="42" customWidth="1"/>
    <col min="5908" max="5908" width="15.85546875" style="42" customWidth="1"/>
    <col min="5909" max="5909" width="14" style="42" bestFit="1" customWidth="1"/>
    <col min="5910" max="5910" width="9.140625" style="42"/>
    <col min="5911" max="5911" width="25.85546875" style="42" customWidth="1"/>
    <col min="5912" max="5912" width="41.7109375" style="42" customWidth="1"/>
    <col min="5913" max="5913" width="9.28515625" style="42" customWidth="1"/>
    <col min="5914" max="5915" width="10.7109375" style="42" customWidth="1"/>
    <col min="5916" max="5916" width="15.7109375" style="42" customWidth="1"/>
    <col min="5917" max="5917" width="26.42578125" style="42" customWidth="1"/>
    <col min="5918" max="5918" width="17.42578125" style="42" customWidth="1"/>
    <col min="5919" max="5919" width="15.7109375" style="42" customWidth="1"/>
    <col min="5920" max="6144" width="9.140625" style="42"/>
    <col min="6145" max="6145" width="2" style="42" customWidth="1"/>
    <col min="6146" max="6146" width="3" style="42" customWidth="1"/>
    <col min="6147" max="6147" width="1.7109375" style="42" customWidth="1"/>
    <col min="6148" max="6148" width="16.140625" style="42" customWidth="1"/>
    <col min="6149" max="6149" width="17.140625" style="42" customWidth="1"/>
    <col min="6150" max="6150" width="13" style="42" customWidth="1"/>
    <col min="6151" max="6151" width="27" style="42" customWidth="1"/>
    <col min="6152" max="6152" width="11.140625" style="42" customWidth="1"/>
    <col min="6153" max="6153" width="24.7109375" style="42" customWidth="1"/>
    <col min="6154" max="6154" width="13.140625" style="42" customWidth="1"/>
    <col min="6155" max="6155" width="14" style="42" customWidth="1"/>
    <col min="6156" max="6156" width="17.140625" style="42" customWidth="1"/>
    <col min="6157" max="6157" width="15.7109375" style="42" customWidth="1"/>
    <col min="6158" max="6158" width="17.85546875" style="42" customWidth="1"/>
    <col min="6159" max="6159" width="21.7109375" style="42" customWidth="1"/>
    <col min="6160" max="6160" width="22.7109375" style="42" customWidth="1"/>
    <col min="6161" max="6161" width="1.7109375" style="42" customWidth="1"/>
    <col min="6162" max="6162" width="18.140625" style="42" customWidth="1"/>
    <col min="6163" max="6163" width="26.5703125" style="42" customWidth="1"/>
    <col min="6164" max="6164" width="15.85546875" style="42" customWidth="1"/>
    <col min="6165" max="6165" width="14" style="42" bestFit="1" customWidth="1"/>
    <col min="6166" max="6166" width="9.140625" style="42"/>
    <col min="6167" max="6167" width="25.85546875" style="42" customWidth="1"/>
    <col min="6168" max="6168" width="41.7109375" style="42" customWidth="1"/>
    <col min="6169" max="6169" width="9.28515625" style="42" customWidth="1"/>
    <col min="6170" max="6171" width="10.7109375" style="42" customWidth="1"/>
    <col min="6172" max="6172" width="15.7109375" style="42" customWidth="1"/>
    <col min="6173" max="6173" width="26.42578125" style="42" customWidth="1"/>
    <col min="6174" max="6174" width="17.42578125" style="42" customWidth="1"/>
    <col min="6175" max="6175" width="15.7109375" style="42" customWidth="1"/>
    <col min="6176" max="6400" width="9.140625" style="42"/>
    <col min="6401" max="6401" width="2" style="42" customWidth="1"/>
    <col min="6402" max="6402" width="3" style="42" customWidth="1"/>
    <col min="6403" max="6403" width="1.7109375" style="42" customWidth="1"/>
    <col min="6404" max="6404" width="16.140625" style="42" customWidth="1"/>
    <col min="6405" max="6405" width="17.140625" style="42" customWidth="1"/>
    <col min="6406" max="6406" width="13" style="42" customWidth="1"/>
    <col min="6407" max="6407" width="27" style="42" customWidth="1"/>
    <col min="6408" max="6408" width="11.140625" style="42" customWidth="1"/>
    <col min="6409" max="6409" width="24.7109375" style="42" customWidth="1"/>
    <col min="6410" max="6410" width="13.140625" style="42" customWidth="1"/>
    <col min="6411" max="6411" width="14" style="42" customWidth="1"/>
    <col min="6412" max="6412" width="17.140625" style="42" customWidth="1"/>
    <col min="6413" max="6413" width="15.7109375" style="42" customWidth="1"/>
    <col min="6414" max="6414" width="17.85546875" style="42" customWidth="1"/>
    <col min="6415" max="6415" width="21.7109375" style="42" customWidth="1"/>
    <col min="6416" max="6416" width="22.7109375" style="42" customWidth="1"/>
    <col min="6417" max="6417" width="1.7109375" style="42" customWidth="1"/>
    <col min="6418" max="6418" width="18.140625" style="42" customWidth="1"/>
    <col min="6419" max="6419" width="26.5703125" style="42" customWidth="1"/>
    <col min="6420" max="6420" width="15.85546875" style="42" customWidth="1"/>
    <col min="6421" max="6421" width="14" style="42" bestFit="1" customWidth="1"/>
    <col min="6422" max="6422" width="9.140625" style="42"/>
    <col min="6423" max="6423" width="25.85546875" style="42" customWidth="1"/>
    <col min="6424" max="6424" width="41.7109375" style="42" customWidth="1"/>
    <col min="6425" max="6425" width="9.28515625" style="42" customWidth="1"/>
    <col min="6426" max="6427" width="10.7109375" style="42" customWidth="1"/>
    <col min="6428" max="6428" width="15.7109375" style="42" customWidth="1"/>
    <col min="6429" max="6429" width="26.42578125" style="42" customWidth="1"/>
    <col min="6430" max="6430" width="17.42578125" style="42" customWidth="1"/>
    <col min="6431" max="6431" width="15.7109375" style="42" customWidth="1"/>
    <col min="6432" max="6656" width="9.140625" style="42"/>
    <col min="6657" max="6657" width="2" style="42" customWidth="1"/>
    <col min="6658" max="6658" width="3" style="42" customWidth="1"/>
    <col min="6659" max="6659" width="1.7109375" style="42" customWidth="1"/>
    <col min="6660" max="6660" width="16.140625" style="42" customWidth="1"/>
    <col min="6661" max="6661" width="17.140625" style="42" customWidth="1"/>
    <col min="6662" max="6662" width="13" style="42" customWidth="1"/>
    <col min="6663" max="6663" width="27" style="42" customWidth="1"/>
    <col min="6664" max="6664" width="11.140625" style="42" customWidth="1"/>
    <col min="6665" max="6665" width="24.7109375" style="42" customWidth="1"/>
    <col min="6666" max="6666" width="13.140625" style="42" customWidth="1"/>
    <col min="6667" max="6667" width="14" style="42" customWidth="1"/>
    <col min="6668" max="6668" width="17.140625" style="42" customWidth="1"/>
    <col min="6669" max="6669" width="15.7109375" style="42" customWidth="1"/>
    <col min="6670" max="6670" width="17.85546875" style="42" customWidth="1"/>
    <col min="6671" max="6671" width="21.7109375" style="42" customWidth="1"/>
    <col min="6672" max="6672" width="22.7109375" style="42" customWidth="1"/>
    <col min="6673" max="6673" width="1.7109375" style="42" customWidth="1"/>
    <col min="6674" max="6674" width="18.140625" style="42" customWidth="1"/>
    <col min="6675" max="6675" width="26.5703125" style="42" customWidth="1"/>
    <col min="6676" max="6676" width="15.85546875" style="42" customWidth="1"/>
    <col min="6677" max="6677" width="14" style="42" bestFit="1" customWidth="1"/>
    <col min="6678" max="6678" width="9.140625" style="42"/>
    <col min="6679" max="6679" width="25.85546875" style="42" customWidth="1"/>
    <col min="6680" max="6680" width="41.7109375" style="42" customWidth="1"/>
    <col min="6681" max="6681" width="9.28515625" style="42" customWidth="1"/>
    <col min="6682" max="6683" width="10.7109375" style="42" customWidth="1"/>
    <col min="6684" max="6684" width="15.7109375" style="42" customWidth="1"/>
    <col min="6685" max="6685" width="26.42578125" style="42" customWidth="1"/>
    <col min="6686" max="6686" width="17.42578125" style="42" customWidth="1"/>
    <col min="6687" max="6687" width="15.7109375" style="42" customWidth="1"/>
    <col min="6688" max="6912" width="9.140625" style="42"/>
    <col min="6913" max="6913" width="2" style="42" customWidth="1"/>
    <col min="6914" max="6914" width="3" style="42" customWidth="1"/>
    <col min="6915" max="6915" width="1.7109375" style="42" customWidth="1"/>
    <col min="6916" max="6916" width="16.140625" style="42" customWidth="1"/>
    <col min="6917" max="6917" width="17.140625" style="42" customWidth="1"/>
    <col min="6918" max="6918" width="13" style="42" customWidth="1"/>
    <col min="6919" max="6919" width="27" style="42" customWidth="1"/>
    <col min="6920" max="6920" width="11.140625" style="42" customWidth="1"/>
    <col min="6921" max="6921" width="24.7109375" style="42" customWidth="1"/>
    <col min="6922" max="6922" width="13.140625" style="42" customWidth="1"/>
    <col min="6923" max="6923" width="14" style="42" customWidth="1"/>
    <col min="6924" max="6924" width="17.140625" style="42" customWidth="1"/>
    <col min="6925" max="6925" width="15.7109375" style="42" customWidth="1"/>
    <col min="6926" max="6926" width="17.85546875" style="42" customWidth="1"/>
    <col min="6927" max="6927" width="21.7109375" style="42" customWidth="1"/>
    <col min="6928" max="6928" width="22.7109375" style="42" customWidth="1"/>
    <col min="6929" max="6929" width="1.7109375" style="42" customWidth="1"/>
    <col min="6930" max="6930" width="18.140625" style="42" customWidth="1"/>
    <col min="6931" max="6931" width="26.5703125" style="42" customWidth="1"/>
    <col min="6932" max="6932" width="15.85546875" style="42" customWidth="1"/>
    <col min="6933" max="6933" width="14" style="42" bestFit="1" customWidth="1"/>
    <col min="6934" max="6934" width="9.140625" style="42"/>
    <col min="6935" max="6935" width="25.85546875" style="42" customWidth="1"/>
    <col min="6936" max="6936" width="41.7109375" style="42" customWidth="1"/>
    <col min="6937" max="6937" width="9.28515625" style="42" customWidth="1"/>
    <col min="6938" max="6939" width="10.7109375" style="42" customWidth="1"/>
    <col min="6940" max="6940" width="15.7109375" style="42" customWidth="1"/>
    <col min="6941" max="6941" width="26.42578125" style="42" customWidth="1"/>
    <col min="6942" max="6942" width="17.42578125" style="42" customWidth="1"/>
    <col min="6943" max="6943" width="15.7109375" style="42" customWidth="1"/>
    <col min="6944" max="7168" width="9.140625" style="42"/>
    <col min="7169" max="7169" width="2" style="42" customWidth="1"/>
    <col min="7170" max="7170" width="3" style="42" customWidth="1"/>
    <col min="7171" max="7171" width="1.7109375" style="42" customWidth="1"/>
    <col min="7172" max="7172" width="16.140625" style="42" customWidth="1"/>
    <col min="7173" max="7173" width="17.140625" style="42" customWidth="1"/>
    <col min="7174" max="7174" width="13" style="42" customWidth="1"/>
    <col min="7175" max="7175" width="27" style="42" customWidth="1"/>
    <col min="7176" max="7176" width="11.140625" style="42" customWidth="1"/>
    <col min="7177" max="7177" width="24.7109375" style="42" customWidth="1"/>
    <col min="7178" max="7178" width="13.140625" style="42" customWidth="1"/>
    <col min="7179" max="7179" width="14" style="42" customWidth="1"/>
    <col min="7180" max="7180" width="17.140625" style="42" customWidth="1"/>
    <col min="7181" max="7181" width="15.7109375" style="42" customWidth="1"/>
    <col min="7182" max="7182" width="17.85546875" style="42" customWidth="1"/>
    <col min="7183" max="7183" width="21.7109375" style="42" customWidth="1"/>
    <col min="7184" max="7184" width="22.7109375" style="42" customWidth="1"/>
    <col min="7185" max="7185" width="1.7109375" style="42" customWidth="1"/>
    <col min="7186" max="7186" width="18.140625" style="42" customWidth="1"/>
    <col min="7187" max="7187" width="26.5703125" style="42" customWidth="1"/>
    <col min="7188" max="7188" width="15.85546875" style="42" customWidth="1"/>
    <col min="7189" max="7189" width="14" style="42" bestFit="1" customWidth="1"/>
    <col min="7190" max="7190" width="9.140625" style="42"/>
    <col min="7191" max="7191" width="25.85546875" style="42" customWidth="1"/>
    <col min="7192" max="7192" width="41.7109375" style="42" customWidth="1"/>
    <col min="7193" max="7193" width="9.28515625" style="42" customWidth="1"/>
    <col min="7194" max="7195" width="10.7109375" style="42" customWidth="1"/>
    <col min="7196" max="7196" width="15.7109375" style="42" customWidth="1"/>
    <col min="7197" max="7197" width="26.42578125" style="42" customWidth="1"/>
    <col min="7198" max="7198" width="17.42578125" style="42" customWidth="1"/>
    <col min="7199" max="7199" width="15.7109375" style="42" customWidth="1"/>
    <col min="7200" max="7424" width="9.140625" style="42"/>
    <col min="7425" max="7425" width="2" style="42" customWidth="1"/>
    <col min="7426" max="7426" width="3" style="42" customWidth="1"/>
    <col min="7427" max="7427" width="1.7109375" style="42" customWidth="1"/>
    <col min="7428" max="7428" width="16.140625" style="42" customWidth="1"/>
    <col min="7429" max="7429" width="17.140625" style="42" customWidth="1"/>
    <col min="7430" max="7430" width="13" style="42" customWidth="1"/>
    <col min="7431" max="7431" width="27" style="42" customWidth="1"/>
    <col min="7432" max="7432" width="11.140625" style="42" customWidth="1"/>
    <col min="7433" max="7433" width="24.7109375" style="42" customWidth="1"/>
    <col min="7434" max="7434" width="13.140625" style="42" customWidth="1"/>
    <col min="7435" max="7435" width="14" style="42" customWidth="1"/>
    <col min="7436" max="7436" width="17.140625" style="42" customWidth="1"/>
    <col min="7437" max="7437" width="15.7109375" style="42" customWidth="1"/>
    <col min="7438" max="7438" width="17.85546875" style="42" customWidth="1"/>
    <col min="7439" max="7439" width="21.7109375" style="42" customWidth="1"/>
    <col min="7440" max="7440" width="22.7109375" style="42" customWidth="1"/>
    <col min="7441" max="7441" width="1.7109375" style="42" customWidth="1"/>
    <col min="7442" max="7442" width="18.140625" style="42" customWidth="1"/>
    <col min="7443" max="7443" width="26.5703125" style="42" customWidth="1"/>
    <col min="7444" max="7444" width="15.85546875" style="42" customWidth="1"/>
    <col min="7445" max="7445" width="14" style="42" bestFit="1" customWidth="1"/>
    <col min="7446" max="7446" width="9.140625" style="42"/>
    <col min="7447" max="7447" width="25.85546875" style="42" customWidth="1"/>
    <col min="7448" max="7448" width="41.7109375" style="42" customWidth="1"/>
    <col min="7449" max="7449" width="9.28515625" style="42" customWidth="1"/>
    <col min="7450" max="7451" width="10.7109375" style="42" customWidth="1"/>
    <col min="7452" max="7452" width="15.7109375" style="42" customWidth="1"/>
    <col min="7453" max="7453" width="26.42578125" style="42" customWidth="1"/>
    <col min="7454" max="7454" width="17.42578125" style="42" customWidth="1"/>
    <col min="7455" max="7455" width="15.7109375" style="42" customWidth="1"/>
    <col min="7456" max="7680" width="9.140625" style="42"/>
    <col min="7681" max="7681" width="2" style="42" customWidth="1"/>
    <col min="7682" max="7682" width="3" style="42" customWidth="1"/>
    <col min="7683" max="7683" width="1.7109375" style="42" customWidth="1"/>
    <col min="7684" max="7684" width="16.140625" style="42" customWidth="1"/>
    <col min="7685" max="7685" width="17.140625" style="42" customWidth="1"/>
    <col min="7686" max="7686" width="13" style="42" customWidth="1"/>
    <col min="7687" max="7687" width="27" style="42" customWidth="1"/>
    <col min="7688" max="7688" width="11.140625" style="42" customWidth="1"/>
    <col min="7689" max="7689" width="24.7109375" style="42" customWidth="1"/>
    <col min="7690" max="7690" width="13.140625" style="42" customWidth="1"/>
    <col min="7691" max="7691" width="14" style="42" customWidth="1"/>
    <col min="7692" max="7692" width="17.140625" style="42" customWidth="1"/>
    <col min="7693" max="7693" width="15.7109375" style="42" customWidth="1"/>
    <col min="7694" max="7694" width="17.85546875" style="42" customWidth="1"/>
    <col min="7695" max="7695" width="21.7109375" style="42" customWidth="1"/>
    <col min="7696" max="7696" width="22.7109375" style="42" customWidth="1"/>
    <col min="7697" max="7697" width="1.7109375" style="42" customWidth="1"/>
    <col min="7698" max="7698" width="18.140625" style="42" customWidth="1"/>
    <col min="7699" max="7699" width="26.5703125" style="42" customWidth="1"/>
    <col min="7700" max="7700" width="15.85546875" style="42" customWidth="1"/>
    <col min="7701" max="7701" width="14" style="42" bestFit="1" customWidth="1"/>
    <col min="7702" max="7702" width="9.140625" style="42"/>
    <col min="7703" max="7703" width="25.85546875" style="42" customWidth="1"/>
    <col min="7704" max="7704" width="41.7109375" style="42" customWidth="1"/>
    <col min="7705" max="7705" width="9.28515625" style="42" customWidth="1"/>
    <col min="7706" max="7707" width="10.7109375" style="42" customWidth="1"/>
    <col min="7708" max="7708" width="15.7109375" style="42" customWidth="1"/>
    <col min="7709" max="7709" width="26.42578125" style="42" customWidth="1"/>
    <col min="7710" max="7710" width="17.42578125" style="42" customWidth="1"/>
    <col min="7711" max="7711" width="15.7109375" style="42" customWidth="1"/>
    <col min="7712" max="7936" width="9.140625" style="42"/>
    <col min="7937" max="7937" width="2" style="42" customWidth="1"/>
    <col min="7938" max="7938" width="3" style="42" customWidth="1"/>
    <col min="7939" max="7939" width="1.7109375" style="42" customWidth="1"/>
    <col min="7940" max="7940" width="16.140625" style="42" customWidth="1"/>
    <col min="7941" max="7941" width="17.140625" style="42" customWidth="1"/>
    <col min="7942" max="7942" width="13" style="42" customWidth="1"/>
    <col min="7943" max="7943" width="27" style="42" customWidth="1"/>
    <col min="7944" max="7944" width="11.140625" style="42" customWidth="1"/>
    <col min="7945" max="7945" width="24.7109375" style="42" customWidth="1"/>
    <col min="7946" max="7946" width="13.140625" style="42" customWidth="1"/>
    <col min="7947" max="7947" width="14" style="42" customWidth="1"/>
    <col min="7948" max="7948" width="17.140625" style="42" customWidth="1"/>
    <col min="7949" max="7949" width="15.7109375" style="42" customWidth="1"/>
    <col min="7950" max="7950" width="17.85546875" style="42" customWidth="1"/>
    <col min="7951" max="7951" width="21.7109375" style="42" customWidth="1"/>
    <col min="7952" max="7952" width="22.7109375" style="42" customWidth="1"/>
    <col min="7953" max="7953" width="1.7109375" style="42" customWidth="1"/>
    <col min="7954" max="7954" width="18.140625" style="42" customWidth="1"/>
    <col min="7955" max="7955" width="26.5703125" style="42" customWidth="1"/>
    <col min="7956" max="7956" width="15.85546875" style="42" customWidth="1"/>
    <col min="7957" max="7957" width="14" style="42" bestFit="1" customWidth="1"/>
    <col min="7958" max="7958" width="9.140625" style="42"/>
    <col min="7959" max="7959" width="25.85546875" style="42" customWidth="1"/>
    <col min="7960" max="7960" width="41.7109375" style="42" customWidth="1"/>
    <col min="7961" max="7961" width="9.28515625" style="42" customWidth="1"/>
    <col min="7962" max="7963" width="10.7109375" style="42" customWidth="1"/>
    <col min="7964" max="7964" width="15.7109375" style="42" customWidth="1"/>
    <col min="7965" max="7965" width="26.42578125" style="42" customWidth="1"/>
    <col min="7966" max="7966" width="17.42578125" style="42" customWidth="1"/>
    <col min="7967" max="7967" width="15.7109375" style="42" customWidth="1"/>
    <col min="7968" max="8192" width="9.140625" style="42"/>
    <col min="8193" max="8193" width="2" style="42" customWidth="1"/>
    <col min="8194" max="8194" width="3" style="42" customWidth="1"/>
    <col min="8195" max="8195" width="1.7109375" style="42" customWidth="1"/>
    <col min="8196" max="8196" width="16.140625" style="42" customWidth="1"/>
    <col min="8197" max="8197" width="17.140625" style="42" customWidth="1"/>
    <col min="8198" max="8198" width="13" style="42" customWidth="1"/>
    <col min="8199" max="8199" width="27" style="42" customWidth="1"/>
    <col min="8200" max="8200" width="11.140625" style="42" customWidth="1"/>
    <col min="8201" max="8201" width="24.7109375" style="42" customWidth="1"/>
    <col min="8202" max="8202" width="13.140625" style="42" customWidth="1"/>
    <col min="8203" max="8203" width="14" style="42" customWidth="1"/>
    <col min="8204" max="8204" width="17.140625" style="42" customWidth="1"/>
    <col min="8205" max="8205" width="15.7109375" style="42" customWidth="1"/>
    <col min="8206" max="8206" width="17.85546875" style="42" customWidth="1"/>
    <col min="8207" max="8207" width="21.7109375" style="42" customWidth="1"/>
    <col min="8208" max="8208" width="22.7109375" style="42" customWidth="1"/>
    <col min="8209" max="8209" width="1.7109375" style="42" customWidth="1"/>
    <col min="8210" max="8210" width="18.140625" style="42" customWidth="1"/>
    <col min="8211" max="8211" width="26.5703125" style="42" customWidth="1"/>
    <col min="8212" max="8212" width="15.85546875" style="42" customWidth="1"/>
    <col min="8213" max="8213" width="14" style="42" bestFit="1" customWidth="1"/>
    <col min="8214" max="8214" width="9.140625" style="42"/>
    <col min="8215" max="8215" width="25.85546875" style="42" customWidth="1"/>
    <col min="8216" max="8216" width="41.7109375" style="42" customWidth="1"/>
    <col min="8217" max="8217" width="9.28515625" style="42" customWidth="1"/>
    <col min="8218" max="8219" width="10.7109375" style="42" customWidth="1"/>
    <col min="8220" max="8220" width="15.7109375" style="42" customWidth="1"/>
    <col min="8221" max="8221" width="26.42578125" style="42" customWidth="1"/>
    <col min="8222" max="8222" width="17.42578125" style="42" customWidth="1"/>
    <col min="8223" max="8223" width="15.7109375" style="42" customWidth="1"/>
    <col min="8224" max="8448" width="9.140625" style="42"/>
    <col min="8449" max="8449" width="2" style="42" customWidth="1"/>
    <col min="8450" max="8450" width="3" style="42" customWidth="1"/>
    <col min="8451" max="8451" width="1.7109375" style="42" customWidth="1"/>
    <col min="8452" max="8452" width="16.140625" style="42" customWidth="1"/>
    <col min="8453" max="8453" width="17.140625" style="42" customWidth="1"/>
    <col min="8454" max="8454" width="13" style="42" customWidth="1"/>
    <col min="8455" max="8455" width="27" style="42" customWidth="1"/>
    <col min="8456" max="8456" width="11.140625" style="42" customWidth="1"/>
    <col min="8457" max="8457" width="24.7109375" style="42" customWidth="1"/>
    <col min="8458" max="8458" width="13.140625" style="42" customWidth="1"/>
    <col min="8459" max="8459" width="14" style="42" customWidth="1"/>
    <col min="8460" max="8460" width="17.140625" style="42" customWidth="1"/>
    <col min="8461" max="8461" width="15.7109375" style="42" customWidth="1"/>
    <col min="8462" max="8462" width="17.85546875" style="42" customWidth="1"/>
    <col min="8463" max="8463" width="21.7109375" style="42" customWidth="1"/>
    <col min="8464" max="8464" width="22.7109375" style="42" customWidth="1"/>
    <col min="8465" max="8465" width="1.7109375" style="42" customWidth="1"/>
    <col min="8466" max="8466" width="18.140625" style="42" customWidth="1"/>
    <col min="8467" max="8467" width="26.5703125" style="42" customWidth="1"/>
    <col min="8468" max="8468" width="15.85546875" style="42" customWidth="1"/>
    <col min="8469" max="8469" width="14" style="42" bestFit="1" customWidth="1"/>
    <col min="8470" max="8470" width="9.140625" style="42"/>
    <col min="8471" max="8471" width="25.85546875" style="42" customWidth="1"/>
    <col min="8472" max="8472" width="41.7109375" style="42" customWidth="1"/>
    <col min="8473" max="8473" width="9.28515625" style="42" customWidth="1"/>
    <col min="8474" max="8475" width="10.7109375" style="42" customWidth="1"/>
    <col min="8476" max="8476" width="15.7109375" style="42" customWidth="1"/>
    <col min="8477" max="8477" width="26.42578125" style="42" customWidth="1"/>
    <col min="8478" max="8478" width="17.42578125" style="42" customWidth="1"/>
    <col min="8479" max="8479" width="15.7109375" style="42" customWidth="1"/>
    <col min="8480" max="8704" width="9.140625" style="42"/>
    <col min="8705" max="8705" width="2" style="42" customWidth="1"/>
    <col min="8706" max="8706" width="3" style="42" customWidth="1"/>
    <col min="8707" max="8707" width="1.7109375" style="42" customWidth="1"/>
    <col min="8708" max="8708" width="16.140625" style="42" customWidth="1"/>
    <col min="8709" max="8709" width="17.140625" style="42" customWidth="1"/>
    <col min="8710" max="8710" width="13" style="42" customWidth="1"/>
    <col min="8711" max="8711" width="27" style="42" customWidth="1"/>
    <col min="8712" max="8712" width="11.140625" style="42" customWidth="1"/>
    <col min="8713" max="8713" width="24.7109375" style="42" customWidth="1"/>
    <col min="8714" max="8714" width="13.140625" style="42" customWidth="1"/>
    <col min="8715" max="8715" width="14" style="42" customWidth="1"/>
    <col min="8716" max="8716" width="17.140625" style="42" customWidth="1"/>
    <col min="8717" max="8717" width="15.7109375" style="42" customWidth="1"/>
    <col min="8718" max="8718" width="17.85546875" style="42" customWidth="1"/>
    <col min="8719" max="8719" width="21.7109375" style="42" customWidth="1"/>
    <col min="8720" max="8720" width="22.7109375" style="42" customWidth="1"/>
    <col min="8721" max="8721" width="1.7109375" style="42" customWidth="1"/>
    <col min="8722" max="8722" width="18.140625" style="42" customWidth="1"/>
    <col min="8723" max="8723" width="26.5703125" style="42" customWidth="1"/>
    <col min="8724" max="8724" width="15.85546875" style="42" customWidth="1"/>
    <col min="8725" max="8725" width="14" style="42" bestFit="1" customWidth="1"/>
    <col min="8726" max="8726" width="9.140625" style="42"/>
    <col min="8727" max="8727" width="25.85546875" style="42" customWidth="1"/>
    <col min="8728" max="8728" width="41.7109375" style="42" customWidth="1"/>
    <col min="8729" max="8729" width="9.28515625" style="42" customWidth="1"/>
    <col min="8730" max="8731" width="10.7109375" style="42" customWidth="1"/>
    <col min="8732" max="8732" width="15.7109375" style="42" customWidth="1"/>
    <col min="8733" max="8733" width="26.42578125" style="42" customWidth="1"/>
    <col min="8734" max="8734" width="17.42578125" style="42" customWidth="1"/>
    <col min="8735" max="8735" width="15.7109375" style="42" customWidth="1"/>
    <col min="8736" max="8960" width="9.140625" style="42"/>
    <col min="8961" max="8961" width="2" style="42" customWidth="1"/>
    <col min="8962" max="8962" width="3" style="42" customWidth="1"/>
    <col min="8963" max="8963" width="1.7109375" style="42" customWidth="1"/>
    <col min="8964" max="8964" width="16.140625" style="42" customWidth="1"/>
    <col min="8965" max="8965" width="17.140625" style="42" customWidth="1"/>
    <col min="8966" max="8966" width="13" style="42" customWidth="1"/>
    <col min="8967" max="8967" width="27" style="42" customWidth="1"/>
    <col min="8968" max="8968" width="11.140625" style="42" customWidth="1"/>
    <col min="8969" max="8969" width="24.7109375" style="42" customWidth="1"/>
    <col min="8970" max="8970" width="13.140625" style="42" customWidth="1"/>
    <col min="8971" max="8971" width="14" style="42" customWidth="1"/>
    <col min="8972" max="8972" width="17.140625" style="42" customWidth="1"/>
    <col min="8973" max="8973" width="15.7109375" style="42" customWidth="1"/>
    <col min="8974" max="8974" width="17.85546875" style="42" customWidth="1"/>
    <col min="8975" max="8975" width="21.7109375" style="42" customWidth="1"/>
    <col min="8976" max="8976" width="22.7109375" style="42" customWidth="1"/>
    <col min="8977" max="8977" width="1.7109375" style="42" customWidth="1"/>
    <col min="8978" max="8978" width="18.140625" style="42" customWidth="1"/>
    <col min="8979" max="8979" width="26.5703125" style="42" customWidth="1"/>
    <col min="8980" max="8980" width="15.85546875" style="42" customWidth="1"/>
    <col min="8981" max="8981" width="14" style="42" bestFit="1" customWidth="1"/>
    <col min="8982" max="8982" width="9.140625" style="42"/>
    <col min="8983" max="8983" width="25.85546875" style="42" customWidth="1"/>
    <col min="8984" max="8984" width="41.7109375" style="42" customWidth="1"/>
    <col min="8985" max="8985" width="9.28515625" style="42" customWidth="1"/>
    <col min="8986" max="8987" width="10.7109375" style="42" customWidth="1"/>
    <col min="8988" max="8988" width="15.7109375" style="42" customWidth="1"/>
    <col min="8989" max="8989" width="26.42578125" style="42" customWidth="1"/>
    <col min="8990" max="8990" width="17.42578125" style="42" customWidth="1"/>
    <col min="8991" max="8991" width="15.7109375" style="42" customWidth="1"/>
    <col min="8992" max="9216" width="9.140625" style="42"/>
    <col min="9217" max="9217" width="2" style="42" customWidth="1"/>
    <col min="9218" max="9218" width="3" style="42" customWidth="1"/>
    <col min="9219" max="9219" width="1.7109375" style="42" customWidth="1"/>
    <col min="9220" max="9220" width="16.140625" style="42" customWidth="1"/>
    <col min="9221" max="9221" width="17.140625" style="42" customWidth="1"/>
    <col min="9222" max="9222" width="13" style="42" customWidth="1"/>
    <col min="9223" max="9223" width="27" style="42" customWidth="1"/>
    <col min="9224" max="9224" width="11.140625" style="42" customWidth="1"/>
    <col min="9225" max="9225" width="24.7109375" style="42" customWidth="1"/>
    <col min="9226" max="9226" width="13.140625" style="42" customWidth="1"/>
    <col min="9227" max="9227" width="14" style="42" customWidth="1"/>
    <col min="9228" max="9228" width="17.140625" style="42" customWidth="1"/>
    <col min="9229" max="9229" width="15.7109375" style="42" customWidth="1"/>
    <col min="9230" max="9230" width="17.85546875" style="42" customWidth="1"/>
    <col min="9231" max="9231" width="21.7109375" style="42" customWidth="1"/>
    <col min="9232" max="9232" width="22.7109375" style="42" customWidth="1"/>
    <col min="9233" max="9233" width="1.7109375" style="42" customWidth="1"/>
    <col min="9234" max="9234" width="18.140625" style="42" customWidth="1"/>
    <col min="9235" max="9235" width="26.5703125" style="42" customWidth="1"/>
    <col min="9236" max="9236" width="15.85546875" style="42" customWidth="1"/>
    <col min="9237" max="9237" width="14" style="42" bestFit="1" customWidth="1"/>
    <col min="9238" max="9238" width="9.140625" style="42"/>
    <col min="9239" max="9239" width="25.85546875" style="42" customWidth="1"/>
    <col min="9240" max="9240" width="41.7109375" style="42" customWidth="1"/>
    <col min="9241" max="9241" width="9.28515625" style="42" customWidth="1"/>
    <col min="9242" max="9243" width="10.7109375" style="42" customWidth="1"/>
    <col min="9244" max="9244" width="15.7109375" style="42" customWidth="1"/>
    <col min="9245" max="9245" width="26.42578125" style="42" customWidth="1"/>
    <col min="9246" max="9246" width="17.42578125" style="42" customWidth="1"/>
    <col min="9247" max="9247" width="15.7109375" style="42" customWidth="1"/>
    <col min="9248" max="9472" width="9.140625" style="42"/>
    <col min="9473" max="9473" width="2" style="42" customWidth="1"/>
    <col min="9474" max="9474" width="3" style="42" customWidth="1"/>
    <col min="9475" max="9475" width="1.7109375" style="42" customWidth="1"/>
    <col min="9476" max="9476" width="16.140625" style="42" customWidth="1"/>
    <col min="9477" max="9477" width="17.140625" style="42" customWidth="1"/>
    <col min="9478" max="9478" width="13" style="42" customWidth="1"/>
    <col min="9479" max="9479" width="27" style="42" customWidth="1"/>
    <col min="9480" max="9480" width="11.140625" style="42" customWidth="1"/>
    <col min="9481" max="9481" width="24.7109375" style="42" customWidth="1"/>
    <col min="9482" max="9482" width="13.140625" style="42" customWidth="1"/>
    <col min="9483" max="9483" width="14" style="42" customWidth="1"/>
    <col min="9484" max="9484" width="17.140625" style="42" customWidth="1"/>
    <col min="9485" max="9485" width="15.7109375" style="42" customWidth="1"/>
    <col min="9486" max="9486" width="17.85546875" style="42" customWidth="1"/>
    <col min="9487" max="9487" width="21.7109375" style="42" customWidth="1"/>
    <col min="9488" max="9488" width="22.7109375" style="42" customWidth="1"/>
    <col min="9489" max="9489" width="1.7109375" style="42" customWidth="1"/>
    <col min="9490" max="9490" width="18.140625" style="42" customWidth="1"/>
    <col min="9491" max="9491" width="26.5703125" style="42" customWidth="1"/>
    <col min="9492" max="9492" width="15.85546875" style="42" customWidth="1"/>
    <col min="9493" max="9493" width="14" style="42" bestFit="1" customWidth="1"/>
    <col min="9494" max="9494" width="9.140625" style="42"/>
    <col min="9495" max="9495" width="25.85546875" style="42" customWidth="1"/>
    <col min="9496" max="9496" width="41.7109375" style="42" customWidth="1"/>
    <col min="9497" max="9497" width="9.28515625" style="42" customWidth="1"/>
    <col min="9498" max="9499" width="10.7109375" style="42" customWidth="1"/>
    <col min="9500" max="9500" width="15.7109375" style="42" customWidth="1"/>
    <col min="9501" max="9501" width="26.42578125" style="42" customWidth="1"/>
    <col min="9502" max="9502" width="17.42578125" style="42" customWidth="1"/>
    <col min="9503" max="9503" width="15.7109375" style="42" customWidth="1"/>
    <col min="9504" max="9728" width="9.140625" style="42"/>
    <col min="9729" max="9729" width="2" style="42" customWidth="1"/>
    <col min="9730" max="9730" width="3" style="42" customWidth="1"/>
    <col min="9731" max="9731" width="1.7109375" style="42" customWidth="1"/>
    <col min="9732" max="9732" width="16.140625" style="42" customWidth="1"/>
    <col min="9733" max="9733" width="17.140625" style="42" customWidth="1"/>
    <col min="9734" max="9734" width="13" style="42" customWidth="1"/>
    <col min="9735" max="9735" width="27" style="42" customWidth="1"/>
    <col min="9736" max="9736" width="11.140625" style="42" customWidth="1"/>
    <col min="9737" max="9737" width="24.7109375" style="42" customWidth="1"/>
    <col min="9738" max="9738" width="13.140625" style="42" customWidth="1"/>
    <col min="9739" max="9739" width="14" style="42" customWidth="1"/>
    <col min="9740" max="9740" width="17.140625" style="42" customWidth="1"/>
    <col min="9741" max="9741" width="15.7109375" style="42" customWidth="1"/>
    <col min="9742" max="9742" width="17.85546875" style="42" customWidth="1"/>
    <col min="9743" max="9743" width="21.7109375" style="42" customWidth="1"/>
    <col min="9744" max="9744" width="22.7109375" style="42" customWidth="1"/>
    <col min="9745" max="9745" width="1.7109375" style="42" customWidth="1"/>
    <col min="9746" max="9746" width="18.140625" style="42" customWidth="1"/>
    <col min="9747" max="9747" width="26.5703125" style="42" customWidth="1"/>
    <col min="9748" max="9748" width="15.85546875" style="42" customWidth="1"/>
    <col min="9749" max="9749" width="14" style="42" bestFit="1" customWidth="1"/>
    <col min="9750" max="9750" width="9.140625" style="42"/>
    <col min="9751" max="9751" width="25.85546875" style="42" customWidth="1"/>
    <col min="9752" max="9752" width="41.7109375" style="42" customWidth="1"/>
    <col min="9753" max="9753" width="9.28515625" style="42" customWidth="1"/>
    <col min="9754" max="9755" width="10.7109375" style="42" customWidth="1"/>
    <col min="9756" max="9756" width="15.7109375" style="42" customWidth="1"/>
    <col min="9757" max="9757" width="26.42578125" style="42" customWidth="1"/>
    <col min="9758" max="9758" width="17.42578125" style="42" customWidth="1"/>
    <col min="9759" max="9759" width="15.7109375" style="42" customWidth="1"/>
    <col min="9760" max="9984" width="9.140625" style="42"/>
    <col min="9985" max="9985" width="2" style="42" customWidth="1"/>
    <col min="9986" max="9986" width="3" style="42" customWidth="1"/>
    <col min="9987" max="9987" width="1.7109375" style="42" customWidth="1"/>
    <col min="9988" max="9988" width="16.140625" style="42" customWidth="1"/>
    <col min="9989" max="9989" width="17.140625" style="42" customWidth="1"/>
    <col min="9990" max="9990" width="13" style="42" customWidth="1"/>
    <col min="9991" max="9991" width="27" style="42" customWidth="1"/>
    <col min="9992" max="9992" width="11.140625" style="42" customWidth="1"/>
    <col min="9993" max="9993" width="24.7109375" style="42" customWidth="1"/>
    <col min="9994" max="9994" width="13.140625" style="42" customWidth="1"/>
    <col min="9995" max="9995" width="14" style="42" customWidth="1"/>
    <col min="9996" max="9996" width="17.140625" style="42" customWidth="1"/>
    <col min="9997" max="9997" width="15.7109375" style="42" customWidth="1"/>
    <col min="9998" max="9998" width="17.85546875" style="42" customWidth="1"/>
    <col min="9999" max="9999" width="21.7109375" style="42" customWidth="1"/>
    <col min="10000" max="10000" width="22.7109375" style="42" customWidth="1"/>
    <col min="10001" max="10001" width="1.7109375" style="42" customWidth="1"/>
    <col min="10002" max="10002" width="18.140625" style="42" customWidth="1"/>
    <col min="10003" max="10003" width="26.5703125" style="42" customWidth="1"/>
    <col min="10004" max="10004" width="15.85546875" style="42" customWidth="1"/>
    <col min="10005" max="10005" width="14" style="42" bestFit="1" customWidth="1"/>
    <col min="10006" max="10006" width="9.140625" style="42"/>
    <col min="10007" max="10007" width="25.85546875" style="42" customWidth="1"/>
    <col min="10008" max="10008" width="41.7109375" style="42" customWidth="1"/>
    <col min="10009" max="10009" width="9.28515625" style="42" customWidth="1"/>
    <col min="10010" max="10011" width="10.7109375" style="42" customWidth="1"/>
    <col min="10012" max="10012" width="15.7109375" style="42" customWidth="1"/>
    <col min="10013" max="10013" width="26.42578125" style="42" customWidth="1"/>
    <col min="10014" max="10014" width="17.42578125" style="42" customWidth="1"/>
    <col min="10015" max="10015" width="15.7109375" style="42" customWidth="1"/>
    <col min="10016" max="10240" width="9.140625" style="42"/>
    <col min="10241" max="10241" width="2" style="42" customWidth="1"/>
    <col min="10242" max="10242" width="3" style="42" customWidth="1"/>
    <col min="10243" max="10243" width="1.7109375" style="42" customWidth="1"/>
    <col min="10244" max="10244" width="16.140625" style="42" customWidth="1"/>
    <col min="10245" max="10245" width="17.140625" style="42" customWidth="1"/>
    <col min="10246" max="10246" width="13" style="42" customWidth="1"/>
    <col min="10247" max="10247" width="27" style="42" customWidth="1"/>
    <col min="10248" max="10248" width="11.140625" style="42" customWidth="1"/>
    <col min="10249" max="10249" width="24.7109375" style="42" customWidth="1"/>
    <col min="10250" max="10250" width="13.140625" style="42" customWidth="1"/>
    <col min="10251" max="10251" width="14" style="42" customWidth="1"/>
    <col min="10252" max="10252" width="17.140625" style="42" customWidth="1"/>
    <col min="10253" max="10253" width="15.7109375" style="42" customWidth="1"/>
    <col min="10254" max="10254" width="17.85546875" style="42" customWidth="1"/>
    <col min="10255" max="10255" width="21.7109375" style="42" customWidth="1"/>
    <col min="10256" max="10256" width="22.7109375" style="42" customWidth="1"/>
    <col min="10257" max="10257" width="1.7109375" style="42" customWidth="1"/>
    <col min="10258" max="10258" width="18.140625" style="42" customWidth="1"/>
    <col min="10259" max="10259" width="26.5703125" style="42" customWidth="1"/>
    <col min="10260" max="10260" width="15.85546875" style="42" customWidth="1"/>
    <col min="10261" max="10261" width="14" style="42" bestFit="1" customWidth="1"/>
    <col min="10262" max="10262" width="9.140625" style="42"/>
    <col min="10263" max="10263" width="25.85546875" style="42" customWidth="1"/>
    <col min="10264" max="10264" width="41.7109375" style="42" customWidth="1"/>
    <col min="10265" max="10265" width="9.28515625" style="42" customWidth="1"/>
    <col min="10266" max="10267" width="10.7109375" style="42" customWidth="1"/>
    <col min="10268" max="10268" width="15.7109375" style="42" customWidth="1"/>
    <col min="10269" max="10269" width="26.42578125" style="42" customWidth="1"/>
    <col min="10270" max="10270" width="17.42578125" style="42" customWidth="1"/>
    <col min="10271" max="10271" width="15.7109375" style="42" customWidth="1"/>
    <col min="10272" max="10496" width="9.140625" style="42"/>
    <col min="10497" max="10497" width="2" style="42" customWidth="1"/>
    <col min="10498" max="10498" width="3" style="42" customWidth="1"/>
    <col min="10499" max="10499" width="1.7109375" style="42" customWidth="1"/>
    <col min="10500" max="10500" width="16.140625" style="42" customWidth="1"/>
    <col min="10501" max="10501" width="17.140625" style="42" customWidth="1"/>
    <col min="10502" max="10502" width="13" style="42" customWidth="1"/>
    <col min="10503" max="10503" width="27" style="42" customWidth="1"/>
    <col min="10504" max="10504" width="11.140625" style="42" customWidth="1"/>
    <col min="10505" max="10505" width="24.7109375" style="42" customWidth="1"/>
    <col min="10506" max="10506" width="13.140625" style="42" customWidth="1"/>
    <col min="10507" max="10507" width="14" style="42" customWidth="1"/>
    <col min="10508" max="10508" width="17.140625" style="42" customWidth="1"/>
    <col min="10509" max="10509" width="15.7109375" style="42" customWidth="1"/>
    <col min="10510" max="10510" width="17.85546875" style="42" customWidth="1"/>
    <col min="10511" max="10511" width="21.7109375" style="42" customWidth="1"/>
    <col min="10512" max="10512" width="22.7109375" style="42" customWidth="1"/>
    <col min="10513" max="10513" width="1.7109375" style="42" customWidth="1"/>
    <col min="10514" max="10514" width="18.140625" style="42" customWidth="1"/>
    <col min="10515" max="10515" width="26.5703125" style="42" customWidth="1"/>
    <col min="10516" max="10516" width="15.85546875" style="42" customWidth="1"/>
    <col min="10517" max="10517" width="14" style="42" bestFit="1" customWidth="1"/>
    <col min="10518" max="10518" width="9.140625" style="42"/>
    <col min="10519" max="10519" width="25.85546875" style="42" customWidth="1"/>
    <col min="10520" max="10520" width="41.7109375" style="42" customWidth="1"/>
    <col min="10521" max="10521" width="9.28515625" style="42" customWidth="1"/>
    <col min="10522" max="10523" width="10.7109375" style="42" customWidth="1"/>
    <col min="10524" max="10524" width="15.7109375" style="42" customWidth="1"/>
    <col min="10525" max="10525" width="26.42578125" style="42" customWidth="1"/>
    <col min="10526" max="10526" width="17.42578125" style="42" customWidth="1"/>
    <col min="10527" max="10527" width="15.7109375" style="42" customWidth="1"/>
    <col min="10528" max="10752" width="9.140625" style="42"/>
    <col min="10753" max="10753" width="2" style="42" customWidth="1"/>
    <col min="10754" max="10754" width="3" style="42" customWidth="1"/>
    <col min="10755" max="10755" width="1.7109375" style="42" customWidth="1"/>
    <col min="10756" max="10756" width="16.140625" style="42" customWidth="1"/>
    <col min="10757" max="10757" width="17.140625" style="42" customWidth="1"/>
    <col min="10758" max="10758" width="13" style="42" customWidth="1"/>
    <col min="10759" max="10759" width="27" style="42" customWidth="1"/>
    <col min="10760" max="10760" width="11.140625" style="42" customWidth="1"/>
    <col min="10761" max="10761" width="24.7109375" style="42" customWidth="1"/>
    <col min="10762" max="10762" width="13.140625" style="42" customWidth="1"/>
    <col min="10763" max="10763" width="14" style="42" customWidth="1"/>
    <col min="10764" max="10764" width="17.140625" style="42" customWidth="1"/>
    <col min="10765" max="10765" width="15.7109375" style="42" customWidth="1"/>
    <col min="10766" max="10766" width="17.85546875" style="42" customWidth="1"/>
    <col min="10767" max="10767" width="21.7109375" style="42" customWidth="1"/>
    <col min="10768" max="10768" width="22.7109375" style="42" customWidth="1"/>
    <col min="10769" max="10769" width="1.7109375" style="42" customWidth="1"/>
    <col min="10770" max="10770" width="18.140625" style="42" customWidth="1"/>
    <col min="10771" max="10771" width="26.5703125" style="42" customWidth="1"/>
    <col min="10772" max="10772" width="15.85546875" style="42" customWidth="1"/>
    <col min="10773" max="10773" width="14" style="42" bestFit="1" customWidth="1"/>
    <col min="10774" max="10774" width="9.140625" style="42"/>
    <col min="10775" max="10775" width="25.85546875" style="42" customWidth="1"/>
    <col min="10776" max="10776" width="41.7109375" style="42" customWidth="1"/>
    <col min="10777" max="10777" width="9.28515625" style="42" customWidth="1"/>
    <col min="10778" max="10779" width="10.7109375" style="42" customWidth="1"/>
    <col min="10780" max="10780" width="15.7109375" style="42" customWidth="1"/>
    <col min="10781" max="10781" width="26.42578125" style="42" customWidth="1"/>
    <col min="10782" max="10782" width="17.42578125" style="42" customWidth="1"/>
    <col min="10783" max="10783" width="15.7109375" style="42" customWidth="1"/>
    <col min="10784" max="11008" width="9.140625" style="42"/>
    <col min="11009" max="11009" width="2" style="42" customWidth="1"/>
    <col min="11010" max="11010" width="3" style="42" customWidth="1"/>
    <col min="11011" max="11011" width="1.7109375" style="42" customWidth="1"/>
    <col min="11012" max="11012" width="16.140625" style="42" customWidth="1"/>
    <col min="11013" max="11013" width="17.140625" style="42" customWidth="1"/>
    <col min="11014" max="11014" width="13" style="42" customWidth="1"/>
    <col min="11015" max="11015" width="27" style="42" customWidth="1"/>
    <col min="11016" max="11016" width="11.140625" style="42" customWidth="1"/>
    <col min="11017" max="11017" width="24.7109375" style="42" customWidth="1"/>
    <col min="11018" max="11018" width="13.140625" style="42" customWidth="1"/>
    <col min="11019" max="11019" width="14" style="42" customWidth="1"/>
    <col min="11020" max="11020" width="17.140625" style="42" customWidth="1"/>
    <col min="11021" max="11021" width="15.7109375" style="42" customWidth="1"/>
    <col min="11022" max="11022" width="17.85546875" style="42" customWidth="1"/>
    <col min="11023" max="11023" width="21.7109375" style="42" customWidth="1"/>
    <col min="11024" max="11024" width="22.7109375" style="42" customWidth="1"/>
    <col min="11025" max="11025" width="1.7109375" style="42" customWidth="1"/>
    <col min="11026" max="11026" width="18.140625" style="42" customWidth="1"/>
    <col min="11027" max="11027" width="26.5703125" style="42" customWidth="1"/>
    <col min="11028" max="11028" width="15.85546875" style="42" customWidth="1"/>
    <col min="11029" max="11029" width="14" style="42" bestFit="1" customWidth="1"/>
    <col min="11030" max="11030" width="9.140625" style="42"/>
    <col min="11031" max="11031" width="25.85546875" style="42" customWidth="1"/>
    <col min="11032" max="11032" width="41.7109375" style="42" customWidth="1"/>
    <col min="11033" max="11033" width="9.28515625" style="42" customWidth="1"/>
    <col min="11034" max="11035" width="10.7109375" style="42" customWidth="1"/>
    <col min="11036" max="11036" width="15.7109375" style="42" customWidth="1"/>
    <col min="11037" max="11037" width="26.42578125" style="42" customWidth="1"/>
    <col min="11038" max="11038" width="17.42578125" style="42" customWidth="1"/>
    <col min="11039" max="11039" width="15.7109375" style="42" customWidth="1"/>
    <col min="11040" max="11264" width="9.140625" style="42"/>
    <col min="11265" max="11265" width="2" style="42" customWidth="1"/>
    <col min="11266" max="11266" width="3" style="42" customWidth="1"/>
    <col min="11267" max="11267" width="1.7109375" style="42" customWidth="1"/>
    <col min="11268" max="11268" width="16.140625" style="42" customWidth="1"/>
    <col min="11269" max="11269" width="17.140625" style="42" customWidth="1"/>
    <col min="11270" max="11270" width="13" style="42" customWidth="1"/>
    <col min="11271" max="11271" width="27" style="42" customWidth="1"/>
    <col min="11272" max="11272" width="11.140625" style="42" customWidth="1"/>
    <col min="11273" max="11273" width="24.7109375" style="42" customWidth="1"/>
    <col min="11274" max="11274" width="13.140625" style="42" customWidth="1"/>
    <col min="11275" max="11275" width="14" style="42" customWidth="1"/>
    <col min="11276" max="11276" width="17.140625" style="42" customWidth="1"/>
    <col min="11277" max="11277" width="15.7109375" style="42" customWidth="1"/>
    <col min="11278" max="11278" width="17.85546875" style="42" customWidth="1"/>
    <col min="11279" max="11279" width="21.7109375" style="42" customWidth="1"/>
    <col min="11280" max="11280" width="22.7109375" style="42" customWidth="1"/>
    <col min="11281" max="11281" width="1.7109375" style="42" customWidth="1"/>
    <col min="11282" max="11282" width="18.140625" style="42" customWidth="1"/>
    <col min="11283" max="11283" width="26.5703125" style="42" customWidth="1"/>
    <col min="11284" max="11284" width="15.85546875" style="42" customWidth="1"/>
    <col min="11285" max="11285" width="14" style="42" bestFit="1" customWidth="1"/>
    <col min="11286" max="11286" width="9.140625" style="42"/>
    <col min="11287" max="11287" width="25.85546875" style="42" customWidth="1"/>
    <col min="11288" max="11288" width="41.7109375" style="42" customWidth="1"/>
    <col min="11289" max="11289" width="9.28515625" style="42" customWidth="1"/>
    <col min="11290" max="11291" width="10.7109375" style="42" customWidth="1"/>
    <col min="11292" max="11292" width="15.7109375" style="42" customWidth="1"/>
    <col min="11293" max="11293" width="26.42578125" style="42" customWidth="1"/>
    <col min="11294" max="11294" width="17.42578125" style="42" customWidth="1"/>
    <col min="11295" max="11295" width="15.7109375" style="42" customWidth="1"/>
    <col min="11296" max="11520" width="9.140625" style="42"/>
    <col min="11521" max="11521" width="2" style="42" customWidth="1"/>
    <col min="11522" max="11522" width="3" style="42" customWidth="1"/>
    <col min="11523" max="11523" width="1.7109375" style="42" customWidth="1"/>
    <col min="11524" max="11524" width="16.140625" style="42" customWidth="1"/>
    <col min="11525" max="11525" width="17.140625" style="42" customWidth="1"/>
    <col min="11526" max="11526" width="13" style="42" customWidth="1"/>
    <col min="11527" max="11527" width="27" style="42" customWidth="1"/>
    <col min="11528" max="11528" width="11.140625" style="42" customWidth="1"/>
    <col min="11529" max="11529" width="24.7109375" style="42" customWidth="1"/>
    <col min="11530" max="11530" width="13.140625" style="42" customWidth="1"/>
    <col min="11531" max="11531" width="14" style="42" customWidth="1"/>
    <col min="11532" max="11532" width="17.140625" style="42" customWidth="1"/>
    <col min="11533" max="11533" width="15.7109375" style="42" customWidth="1"/>
    <col min="11534" max="11534" width="17.85546875" style="42" customWidth="1"/>
    <col min="11535" max="11535" width="21.7109375" style="42" customWidth="1"/>
    <col min="11536" max="11536" width="22.7109375" style="42" customWidth="1"/>
    <col min="11537" max="11537" width="1.7109375" style="42" customWidth="1"/>
    <col min="11538" max="11538" width="18.140625" style="42" customWidth="1"/>
    <col min="11539" max="11539" width="26.5703125" style="42" customWidth="1"/>
    <col min="11540" max="11540" width="15.85546875" style="42" customWidth="1"/>
    <col min="11541" max="11541" width="14" style="42" bestFit="1" customWidth="1"/>
    <col min="11542" max="11542" width="9.140625" style="42"/>
    <col min="11543" max="11543" width="25.85546875" style="42" customWidth="1"/>
    <col min="11544" max="11544" width="41.7109375" style="42" customWidth="1"/>
    <col min="11545" max="11545" width="9.28515625" style="42" customWidth="1"/>
    <col min="11546" max="11547" width="10.7109375" style="42" customWidth="1"/>
    <col min="11548" max="11548" width="15.7109375" style="42" customWidth="1"/>
    <col min="11549" max="11549" width="26.42578125" style="42" customWidth="1"/>
    <col min="11550" max="11550" width="17.42578125" style="42" customWidth="1"/>
    <col min="11551" max="11551" width="15.7109375" style="42" customWidth="1"/>
    <col min="11552" max="11776" width="9.140625" style="42"/>
    <col min="11777" max="11777" width="2" style="42" customWidth="1"/>
    <col min="11778" max="11778" width="3" style="42" customWidth="1"/>
    <col min="11779" max="11779" width="1.7109375" style="42" customWidth="1"/>
    <col min="11780" max="11780" width="16.140625" style="42" customWidth="1"/>
    <col min="11781" max="11781" width="17.140625" style="42" customWidth="1"/>
    <col min="11782" max="11782" width="13" style="42" customWidth="1"/>
    <col min="11783" max="11783" width="27" style="42" customWidth="1"/>
    <col min="11784" max="11784" width="11.140625" style="42" customWidth="1"/>
    <col min="11785" max="11785" width="24.7109375" style="42" customWidth="1"/>
    <col min="11786" max="11786" width="13.140625" style="42" customWidth="1"/>
    <col min="11787" max="11787" width="14" style="42" customWidth="1"/>
    <col min="11788" max="11788" width="17.140625" style="42" customWidth="1"/>
    <col min="11789" max="11789" width="15.7109375" style="42" customWidth="1"/>
    <col min="11790" max="11790" width="17.85546875" style="42" customWidth="1"/>
    <col min="11791" max="11791" width="21.7109375" style="42" customWidth="1"/>
    <col min="11792" max="11792" width="22.7109375" style="42" customWidth="1"/>
    <col min="11793" max="11793" width="1.7109375" style="42" customWidth="1"/>
    <col min="11794" max="11794" width="18.140625" style="42" customWidth="1"/>
    <col min="11795" max="11795" width="26.5703125" style="42" customWidth="1"/>
    <col min="11796" max="11796" width="15.85546875" style="42" customWidth="1"/>
    <col min="11797" max="11797" width="14" style="42" bestFit="1" customWidth="1"/>
    <col min="11798" max="11798" width="9.140625" style="42"/>
    <col min="11799" max="11799" width="25.85546875" style="42" customWidth="1"/>
    <col min="11800" max="11800" width="41.7109375" style="42" customWidth="1"/>
    <col min="11801" max="11801" width="9.28515625" style="42" customWidth="1"/>
    <col min="11802" max="11803" width="10.7109375" style="42" customWidth="1"/>
    <col min="11804" max="11804" width="15.7109375" style="42" customWidth="1"/>
    <col min="11805" max="11805" width="26.42578125" style="42" customWidth="1"/>
    <col min="11806" max="11806" width="17.42578125" style="42" customWidth="1"/>
    <col min="11807" max="11807" width="15.7109375" style="42" customWidth="1"/>
    <col min="11808" max="12032" width="9.140625" style="42"/>
    <col min="12033" max="12033" width="2" style="42" customWidth="1"/>
    <col min="12034" max="12034" width="3" style="42" customWidth="1"/>
    <col min="12035" max="12035" width="1.7109375" style="42" customWidth="1"/>
    <col min="12036" max="12036" width="16.140625" style="42" customWidth="1"/>
    <col min="12037" max="12037" width="17.140625" style="42" customWidth="1"/>
    <col min="12038" max="12038" width="13" style="42" customWidth="1"/>
    <col min="12039" max="12039" width="27" style="42" customWidth="1"/>
    <col min="12040" max="12040" width="11.140625" style="42" customWidth="1"/>
    <col min="12041" max="12041" width="24.7109375" style="42" customWidth="1"/>
    <col min="12042" max="12042" width="13.140625" style="42" customWidth="1"/>
    <col min="12043" max="12043" width="14" style="42" customWidth="1"/>
    <col min="12044" max="12044" width="17.140625" style="42" customWidth="1"/>
    <col min="12045" max="12045" width="15.7109375" style="42" customWidth="1"/>
    <col min="12046" max="12046" width="17.85546875" style="42" customWidth="1"/>
    <col min="12047" max="12047" width="21.7109375" style="42" customWidth="1"/>
    <col min="12048" max="12048" width="22.7109375" style="42" customWidth="1"/>
    <col min="12049" max="12049" width="1.7109375" style="42" customWidth="1"/>
    <col min="12050" max="12050" width="18.140625" style="42" customWidth="1"/>
    <col min="12051" max="12051" width="26.5703125" style="42" customWidth="1"/>
    <col min="12052" max="12052" width="15.85546875" style="42" customWidth="1"/>
    <col min="12053" max="12053" width="14" style="42" bestFit="1" customWidth="1"/>
    <col min="12054" max="12054" width="9.140625" style="42"/>
    <col min="12055" max="12055" width="25.85546875" style="42" customWidth="1"/>
    <col min="12056" max="12056" width="41.7109375" style="42" customWidth="1"/>
    <col min="12057" max="12057" width="9.28515625" style="42" customWidth="1"/>
    <col min="12058" max="12059" width="10.7109375" style="42" customWidth="1"/>
    <col min="12060" max="12060" width="15.7109375" style="42" customWidth="1"/>
    <col min="12061" max="12061" width="26.42578125" style="42" customWidth="1"/>
    <col min="12062" max="12062" width="17.42578125" style="42" customWidth="1"/>
    <col min="12063" max="12063" width="15.7109375" style="42" customWidth="1"/>
    <col min="12064" max="12288" width="9.140625" style="42"/>
    <col min="12289" max="12289" width="2" style="42" customWidth="1"/>
    <col min="12290" max="12290" width="3" style="42" customWidth="1"/>
    <col min="12291" max="12291" width="1.7109375" style="42" customWidth="1"/>
    <col min="12292" max="12292" width="16.140625" style="42" customWidth="1"/>
    <col min="12293" max="12293" width="17.140625" style="42" customWidth="1"/>
    <col min="12294" max="12294" width="13" style="42" customWidth="1"/>
    <col min="12295" max="12295" width="27" style="42" customWidth="1"/>
    <col min="12296" max="12296" width="11.140625" style="42" customWidth="1"/>
    <col min="12297" max="12297" width="24.7109375" style="42" customWidth="1"/>
    <col min="12298" max="12298" width="13.140625" style="42" customWidth="1"/>
    <col min="12299" max="12299" width="14" style="42" customWidth="1"/>
    <col min="12300" max="12300" width="17.140625" style="42" customWidth="1"/>
    <col min="12301" max="12301" width="15.7109375" style="42" customWidth="1"/>
    <col min="12302" max="12302" width="17.85546875" style="42" customWidth="1"/>
    <col min="12303" max="12303" width="21.7109375" style="42" customWidth="1"/>
    <col min="12304" max="12304" width="22.7109375" style="42" customWidth="1"/>
    <col min="12305" max="12305" width="1.7109375" style="42" customWidth="1"/>
    <col min="12306" max="12306" width="18.140625" style="42" customWidth="1"/>
    <col min="12307" max="12307" width="26.5703125" style="42" customWidth="1"/>
    <col min="12308" max="12308" width="15.85546875" style="42" customWidth="1"/>
    <col min="12309" max="12309" width="14" style="42" bestFit="1" customWidth="1"/>
    <col min="12310" max="12310" width="9.140625" style="42"/>
    <col min="12311" max="12311" width="25.85546875" style="42" customWidth="1"/>
    <col min="12312" max="12312" width="41.7109375" style="42" customWidth="1"/>
    <col min="12313" max="12313" width="9.28515625" style="42" customWidth="1"/>
    <col min="12314" max="12315" width="10.7109375" style="42" customWidth="1"/>
    <col min="12316" max="12316" width="15.7109375" style="42" customWidth="1"/>
    <col min="12317" max="12317" width="26.42578125" style="42" customWidth="1"/>
    <col min="12318" max="12318" width="17.42578125" style="42" customWidth="1"/>
    <col min="12319" max="12319" width="15.7109375" style="42" customWidth="1"/>
    <col min="12320" max="12544" width="9.140625" style="42"/>
    <col min="12545" max="12545" width="2" style="42" customWidth="1"/>
    <col min="12546" max="12546" width="3" style="42" customWidth="1"/>
    <col min="12547" max="12547" width="1.7109375" style="42" customWidth="1"/>
    <col min="12548" max="12548" width="16.140625" style="42" customWidth="1"/>
    <col min="12549" max="12549" width="17.140625" style="42" customWidth="1"/>
    <col min="12550" max="12550" width="13" style="42" customWidth="1"/>
    <col min="12551" max="12551" width="27" style="42" customWidth="1"/>
    <col min="12552" max="12552" width="11.140625" style="42" customWidth="1"/>
    <col min="12553" max="12553" width="24.7109375" style="42" customWidth="1"/>
    <col min="12554" max="12554" width="13.140625" style="42" customWidth="1"/>
    <col min="12555" max="12555" width="14" style="42" customWidth="1"/>
    <col min="12556" max="12556" width="17.140625" style="42" customWidth="1"/>
    <col min="12557" max="12557" width="15.7109375" style="42" customWidth="1"/>
    <col min="12558" max="12558" width="17.85546875" style="42" customWidth="1"/>
    <col min="12559" max="12559" width="21.7109375" style="42" customWidth="1"/>
    <col min="12560" max="12560" width="22.7109375" style="42" customWidth="1"/>
    <col min="12561" max="12561" width="1.7109375" style="42" customWidth="1"/>
    <col min="12562" max="12562" width="18.140625" style="42" customWidth="1"/>
    <col min="12563" max="12563" width="26.5703125" style="42" customWidth="1"/>
    <col min="12564" max="12564" width="15.85546875" style="42" customWidth="1"/>
    <col min="12565" max="12565" width="14" style="42" bestFit="1" customWidth="1"/>
    <col min="12566" max="12566" width="9.140625" style="42"/>
    <col min="12567" max="12567" width="25.85546875" style="42" customWidth="1"/>
    <col min="12568" max="12568" width="41.7109375" style="42" customWidth="1"/>
    <col min="12569" max="12569" width="9.28515625" style="42" customWidth="1"/>
    <col min="12570" max="12571" width="10.7109375" style="42" customWidth="1"/>
    <col min="12572" max="12572" width="15.7109375" style="42" customWidth="1"/>
    <col min="12573" max="12573" width="26.42578125" style="42" customWidth="1"/>
    <col min="12574" max="12574" width="17.42578125" style="42" customWidth="1"/>
    <col min="12575" max="12575" width="15.7109375" style="42" customWidth="1"/>
    <col min="12576" max="12800" width="9.140625" style="42"/>
    <col min="12801" max="12801" width="2" style="42" customWidth="1"/>
    <col min="12802" max="12802" width="3" style="42" customWidth="1"/>
    <col min="12803" max="12803" width="1.7109375" style="42" customWidth="1"/>
    <col min="12804" max="12804" width="16.140625" style="42" customWidth="1"/>
    <col min="12805" max="12805" width="17.140625" style="42" customWidth="1"/>
    <col min="12806" max="12806" width="13" style="42" customWidth="1"/>
    <col min="12807" max="12807" width="27" style="42" customWidth="1"/>
    <col min="12808" max="12808" width="11.140625" style="42" customWidth="1"/>
    <col min="12809" max="12809" width="24.7109375" style="42" customWidth="1"/>
    <col min="12810" max="12810" width="13.140625" style="42" customWidth="1"/>
    <col min="12811" max="12811" width="14" style="42" customWidth="1"/>
    <col min="12812" max="12812" width="17.140625" style="42" customWidth="1"/>
    <col min="12813" max="12813" width="15.7109375" style="42" customWidth="1"/>
    <col min="12814" max="12814" width="17.85546875" style="42" customWidth="1"/>
    <col min="12815" max="12815" width="21.7109375" style="42" customWidth="1"/>
    <col min="12816" max="12816" width="22.7109375" style="42" customWidth="1"/>
    <col min="12817" max="12817" width="1.7109375" style="42" customWidth="1"/>
    <col min="12818" max="12818" width="18.140625" style="42" customWidth="1"/>
    <col min="12819" max="12819" width="26.5703125" style="42" customWidth="1"/>
    <col min="12820" max="12820" width="15.85546875" style="42" customWidth="1"/>
    <col min="12821" max="12821" width="14" style="42" bestFit="1" customWidth="1"/>
    <col min="12822" max="12822" width="9.140625" style="42"/>
    <col min="12823" max="12823" width="25.85546875" style="42" customWidth="1"/>
    <col min="12824" max="12824" width="41.7109375" style="42" customWidth="1"/>
    <col min="12825" max="12825" width="9.28515625" style="42" customWidth="1"/>
    <col min="12826" max="12827" width="10.7109375" style="42" customWidth="1"/>
    <col min="12828" max="12828" width="15.7109375" style="42" customWidth="1"/>
    <col min="12829" max="12829" width="26.42578125" style="42" customWidth="1"/>
    <col min="12830" max="12830" width="17.42578125" style="42" customWidth="1"/>
    <col min="12831" max="12831" width="15.7109375" style="42" customWidth="1"/>
    <col min="12832" max="13056" width="9.140625" style="42"/>
    <col min="13057" max="13057" width="2" style="42" customWidth="1"/>
    <col min="13058" max="13058" width="3" style="42" customWidth="1"/>
    <col min="13059" max="13059" width="1.7109375" style="42" customWidth="1"/>
    <col min="13060" max="13060" width="16.140625" style="42" customWidth="1"/>
    <col min="13061" max="13061" width="17.140625" style="42" customWidth="1"/>
    <col min="13062" max="13062" width="13" style="42" customWidth="1"/>
    <col min="13063" max="13063" width="27" style="42" customWidth="1"/>
    <col min="13064" max="13064" width="11.140625" style="42" customWidth="1"/>
    <col min="13065" max="13065" width="24.7109375" style="42" customWidth="1"/>
    <col min="13066" max="13066" width="13.140625" style="42" customWidth="1"/>
    <col min="13067" max="13067" width="14" style="42" customWidth="1"/>
    <col min="13068" max="13068" width="17.140625" style="42" customWidth="1"/>
    <col min="13069" max="13069" width="15.7109375" style="42" customWidth="1"/>
    <col min="13070" max="13070" width="17.85546875" style="42" customWidth="1"/>
    <col min="13071" max="13071" width="21.7109375" style="42" customWidth="1"/>
    <col min="13072" max="13072" width="22.7109375" style="42" customWidth="1"/>
    <col min="13073" max="13073" width="1.7109375" style="42" customWidth="1"/>
    <col min="13074" max="13074" width="18.140625" style="42" customWidth="1"/>
    <col min="13075" max="13075" width="26.5703125" style="42" customWidth="1"/>
    <col min="13076" max="13076" width="15.85546875" style="42" customWidth="1"/>
    <col min="13077" max="13077" width="14" style="42" bestFit="1" customWidth="1"/>
    <col min="13078" max="13078" width="9.140625" style="42"/>
    <col min="13079" max="13079" width="25.85546875" style="42" customWidth="1"/>
    <col min="13080" max="13080" width="41.7109375" style="42" customWidth="1"/>
    <col min="13081" max="13081" width="9.28515625" style="42" customWidth="1"/>
    <col min="13082" max="13083" width="10.7109375" style="42" customWidth="1"/>
    <col min="13084" max="13084" width="15.7109375" style="42" customWidth="1"/>
    <col min="13085" max="13085" width="26.42578125" style="42" customWidth="1"/>
    <col min="13086" max="13086" width="17.42578125" style="42" customWidth="1"/>
    <col min="13087" max="13087" width="15.7109375" style="42" customWidth="1"/>
    <col min="13088" max="13312" width="9.140625" style="42"/>
    <col min="13313" max="13313" width="2" style="42" customWidth="1"/>
    <col min="13314" max="13314" width="3" style="42" customWidth="1"/>
    <col min="13315" max="13315" width="1.7109375" style="42" customWidth="1"/>
    <col min="13316" max="13316" width="16.140625" style="42" customWidth="1"/>
    <col min="13317" max="13317" width="17.140625" style="42" customWidth="1"/>
    <col min="13318" max="13318" width="13" style="42" customWidth="1"/>
    <col min="13319" max="13319" width="27" style="42" customWidth="1"/>
    <col min="13320" max="13320" width="11.140625" style="42" customWidth="1"/>
    <col min="13321" max="13321" width="24.7109375" style="42" customWidth="1"/>
    <col min="13322" max="13322" width="13.140625" style="42" customWidth="1"/>
    <col min="13323" max="13323" width="14" style="42" customWidth="1"/>
    <col min="13324" max="13324" width="17.140625" style="42" customWidth="1"/>
    <col min="13325" max="13325" width="15.7109375" style="42" customWidth="1"/>
    <col min="13326" max="13326" width="17.85546875" style="42" customWidth="1"/>
    <col min="13327" max="13327" width="21.7109375" style="42" customWidth="1"/>
    <col min="13328" max="13328" width="22.7109375" style="42" customWidth="1"/>
    <col min="13329" max="13329" width="1.7109375" style="42" customWidth="1"/>
    <col min="13330" max="13330" width="18.140625" style="42" customWidth="1"/>
    <col min="13331" max="13331" width="26.5703125" style="42" customWidth="1"/>
    <col min="13332" max="13332" width="15.85546875" style="42" customWidth="1"/>
    <col min="13333" max="13333" width="14" style="42" bestFit="1" customWidth="1"/>
    <col min="13334" max="13334" width="9.140625" style="42"/>
    <col min="13335" max="13335" width="25.85546875" style="42" customWidth="1"/>
    <col min="13336" max="13336" width="41.7109375" style="42" customWidth="1"/>
    <col min="13337" max="13337" width="9.28515625" style="42" customWidth="1"/>
    <col min="13338" max="13339" width="10.7109375" style="42" customWidth="1"/>
    <col min="13340" max="13340" width="15.7109375" style="42" customWidth="1"/>
    <col min="13341" max="13341" width="26.42578125" style="42" customWidth="1"/>
    <col min="13342" max="13342" width="17.42578125" style="42" customWidth="1"/>
    <col min="13343" max="13343" width="15.7109375" style="42" customWidth="1"/>
    <col min="13344" max="13568" width="9.140625" style="42"/>
    <col min="13569" max="13569" width="2" style="42" customWidth="1"/>
    <col min="13570" max="13570" width="3" style="42" customWidth="1"/>
    <col min="13571" max="13571" width="1.7109375" style="42" customWidth="1"/>
    <col min="13572" max="13572" width="16.140625" style="42" customWidth="1"/>
    <col min="13573" max="13573" width="17.140625" style="42" customWidth="1"/>
    <col min="13574" max="13574" width="13" style="42" customWidth="1"/>
    <col min="13575" max="13575" width="27" style="42" customWidth="1"/>
    <col min="13576" max="13576" width="11.140625" style="42" customWidth="1"/>
    <col min="13577" max="13577" width="24.7109375" style="42" customWidth="1"/>
    <col min="13578" max="13578" width="13.140625" style="42" customWidth="1"/>
    <col min="13579" max="13579" width="14" style="42" customWidth="1"/>
    <col min="13580" max="13580" width="17.140625" style="42" customWidth="1"/>
    <col min="13581" max="13581" width="15.7109375" style="42" customWidth="1"/>
    <col min="13582" max="13582" width="17.85546875" style="42" customWidth="1"/>
    <col min="13583" max="13583" width="21.7109375" style="42" customWidth="1"/>
    <col min="13584" max="13584" width="22.7109375" style="42" customWidth="1"/>
    <col min="13585" max="13585" width="1.7109375" style="42" customWidth="1"/>
    <col min="13586" max="13586" width="18.140625" style="42" customWidth="1"/>
    <col min="13587" max="13587" width="26.5703125" style="42" customWidth="1"/>
    <col min="13588" max="13588" width="15.85546875" style="42" customWidth="1"/>
    <col min="13589" max="13589" width="14" style="42" bestFit="1" customWidth="1"/>
    <col min="13590" max="13590" width="9.140625" style="42"/>
    <col min="13591" max="13591" width="25.85546875" style="42" customWidth="1"/>
    <col min="13592" max="13592" width="41.7109375" style="42" customWidth="1"/>
    <col min="13593" max="13593" width="9.28515625" style="42" customWidth="1"/>
    <col min="13594" max="13595" width="10.7109375" style="42" customWidth="1"/>
    <col min="13596" max="13596" width="15.7109375" style="42" customWidth="1"/>
    <col min="13597" max="13597" width="26.42578125" style="42" customWidth="1"/>
    <col min="13598" max="13598" width="17.42578125" style="42" customWidth="1"/>
    <col min="13599" max="13599" width="15.7109375" style="42" customWidth="1"/>
    <col min="13600" max="13824" width="9.140625" style="42"/>
    <col min="13825" max="13825" width="2" style="42" customWidth="1"/>
    <col min="13826" max="13826" width="3" style="42" customWidth="1"/>
    <col min="13827" max="13827" width="1.7109375" style="42" customWidth="1"/>
    <col min="13828" max="13828" width="16.140625" style="42" customWidth="1"/>
    <col min="13829" max="13829" width="17.140625" style="42" customWidth="1"/>
    <col min="13830" max="13830" width="13" style="42" customWidth="1"/>
    <col min="13831" max="13831" width="27" style="42" customWidth="1"/>
    <col min="13832" max="13832" width="11.140625" style="42" customWidth="1"/>
    <col min="13833" max="13833" width="24.7109375" style="42" customWidth="1"/>
    <col min="13834" max="13834" width="13.140625" style="42" customWidth="1"/>
    <col min="13835" max="13835" width="14" style="42" customWidth="1"/>
    <col min="13836" max="13836" width="17.140625" style="42" customWidth="1"/>
    <col min="13837" max="13837" width="15.7109375" style="42" customWidth="1"/>
    <col min="13838" max="13838" width="17.85546875" style="42" customWidth="1"/>
    <col min="13839" max="13839" width="21.7109375" style="42" customWidth="1"/>
    <col min="13840" max="13840" width="22.7109375" style="42" customWidth="1"/>
    <col min="13841" max="13841" width="1.7109375" style="42" customWidth="1"/>
    <col min="13842" max="13842" width="18.140625" style="42" customWidth="1"/>
    <col min="13843" max="13843" width="26.5703125" style="42" customWidth="1"/>
    <col min="13844" max="13844" width="15.85546875" style="42" customWidth="1"/>
    <col min="13845" max="13845" width="14" style="42" bestFit="1" customWidth="1"/>
    <col min="13846" max="13846" width="9.140625" style="42"/>
    <col min="13847" max="13847" width="25.85546875" style="42" customWidth="1"/>
    <col min="13848" max="13848" width="41.7109375" style="42" customWidth="1"/>
    <col min="13849" max="13849" width="9.28515625" style="42" customWidth="1"/>
    <col min="13850" max="13851" width="10.7109375" style="42" customWidth="1"/>
    <col min="13852" max="13852" width="15.7109375" style="42" customWidth="1"/>
    <col min="13853" max="13853" width="26.42578125" style="42" customWidth="1"/>
    <col min="13854" max="13854" width="17.42578125" style="42" customWidth="1"/>
    <col min="13855" max="13855" width="15.7109375" style="42" customWidth="1"/>
    <col min="13856" max="14080" width="9.140625" style="42"/>
    <col min="14081" max="14081" width="2" style="42" customWidth="1"/>
    <col min="14082" max="14082" width="3" style="42" customWidth="1"/>
    <col min="14083" max="14083" width="1.7109375" style="42" customWidth="1"/>
    <col min="14084" max="14084" width="16.140625" style="42" customWidth="1"/>
    <col min="14085" max="14085" width="17.140625" style="42" customWidth="1"/>
    <col min="14086" max="14086" width="13" style="42" customWidth="1"/>
    <col min="14087" max="14087" width="27" style="42" customWidth="1"/>
    <col min="14088" max="14088" width="11.140625" style="42" customWidth="1"/>
    <col min="14089" max="14089" width="24.7109375" style="42" customWidth="1"/>
    <col min="14090" max="14090" width="13.140625" style="42" customWidth="1"/>
    <col min="14091" max="14091" width="14" style="42" customWidth="1"/>
    <col min="14092" max="14092" width="17.140625" style="42" customWidth="1"/>
    <col min="14093" max="14093" width="15.7109375" style="42" customWidth="1"/>
    <col min="14094" max="14094" width="17.85546875" style="42" customWidth="1"/>
    <col min="14095" max="14095" width="21.7109375" style="42" customWidth="1"/>
    <col min="14096" max="14096" width="22.7109375" style="42" customWidth="1"/>
    <col min="14097" max="14097" width="1.7109375" style="42" customWidth="1"/>
    <col min="14098" max="14098" width="18.140625" style="42" customWidth="1"/>
    <col min="14099" max="14099" width="26.5703125" style="42" customWidth="1"/>
    <col min="14100" max="14100" width="15.85546875" style="42" customWidth="1"/>
    <col min="14101" max="14101" width="14" style="42" bestFit="1" customWidth="1"/>
    <col min="14102" max="14102" width="9.140625" style="42"/>
    <col min="14103" max="14103" width="25.85546875" style="42" customWidth="1"/>
    <col min="14104" max="14104" width="41.7109375" style="42" customWidth="1"/>
    <col min="14105" max="14105" width="9.28515625" style="42" customWidth="1"/>
    <col min="14106" max="14107" width="10.7109375" style="42" customWidth="1"/>
    <col min="14108" max="14108" width="15.7109375" style="42" customWidth="1"/>
    <col min="14109" max="14109" width="26.42578125" style="42" customWidth="1"/>
    <col min="14110" max="14110" width="17.42578125" style="42" customWidth="1"/>
    <col min="14111" max="14111" width="15.7109375" style="42" customWidth="1"/>
    <col min="14112" max="14336" width="9.140625" style="42"/>
    <col min="14337" max="14337" width="2" style="42" customWidth="1"/>
    <col min="14338" max="14338" width="3" style="42" customWidth="1"/>
    <col min="14339" max="14339" width="1.7109375" style="42" customWidth="1"/>
    <col min="14340" max="14340" width="16.140625" style="42" customWidth="1"/>
    <col min="14341" max="14341" width="17.140625" style="42" customWidth="1"/>
    <col min="14342" max="14342" width="13" style="42" customWidth="1"/>
    <col min="14343" max="14343" width="27" style="42" customWidth="1"/>
    <col min="14344" max="14344" width="11.140625" style="42" customWidth="1"/>
    <col min="14345" max="14345" width="24.7109375" style="42" customWidth="1"/>
    <col min="14346" max="14346" width="13.140625" style="42" customWidth="1"/>
    <col min="14347" max="14347" width="14" style="42" customWidth="1"/>
    <col min="14348" max="14348" width="17.140625" style="42" customWidth="1"/>
    <col min="14349" max="14349" width="15.7109375" style="42" customWidth="1"/>
    <col min="14350" max="14350" width="17.85546875" style="42" customWidth="1"/>
    <col min="14351" max="14351" width="21.7109375" style="42" customWidth="1"/>
    <col min="14352" max="14352" width="22.7109375" style="42" customWidth="1"/>
    <col min="14353" max="14353" width="1.7109375" style="42" customWidth="1"/>
    <col min="14354" max="14354" width="18.140625" style="42" customWidth="1"/>
    <col min="14355" max="14355" width="26.5703125" style="42" customWidth="1"/>
    <col min="14356" max="14356" width="15.85546875" style="42" customWidth="1"/>
    <col min="14357" max="14357" width="14" style="42" bestFit="1" customWidth="1"/>
    <col min="14358" max="14358" width="9.140625" style="42"/>
    <col min="14359" max="14359" width="25.85546875" style="42" customWidth="1"/>
    <col min="14360" max="14360" width="41.7109375" style="42" customWidth="1"/>
    <col min="14361" max="14361" width="9.28515625" style="42" customWidth="1"/>
    <col min="14362" max="14363" width="10.7109375" style="42" customWidth="1"/>
    <col min="14364" max="14364" width="15.7109375" style="42" customWidth="1"/>
    <col min="14365" max="14365" width="26.42578125" style="42" customWidth="1"/>
    <col min="14366" max="14366" width="17.42578125" style="42" customWidth="1"/>
    <col min="14367" max="14367" width="15.7109375" style="42" customWidth="1"/>
    <col min="14368" max="14592" width="9.140625" style="42"/>
    <col min="14593" max="14593" width="2" style="42" customWidth="1"/>
    <col min="14594" max="14594" width="3" style="42" customWidth="1"/>
    <col min="14595" max="14595" width="1.7109375" style="42" customWidth="1"/>
    <col min="14596" max="14596" width="16.140625" style="42" customWidth="1"/>
    <col min="14597" max="14597" width="17.140625" style="42" customWidth="1"/>
    <col min="14598" max="14598" width="13" style="42" customWidth="1"/>
    <col min="14599" max="14599" width="27" style="42" customWidth="1"/>
    <col min="14600" max="14600" width="11.140625" style="42" customWidth="1"/>
    <col min="14601" max="14601" width="24.7109375" style="42" customWidth="1"/>
    <col min="14602" max="14602" width="13.140625" style="42" customWidth="1"/>
    <col min="14603" max="14603" width="14" style="42" customWidth="1"/>
    <col min="14604" max="14604" width="17.140625" style="42" customWidth="1"/>
    <col min="14605" max="14605" width="15.7109375" style="42" customWidth="1"/>
    <col min="14606" max="14606" width="17.85546875" style="42" customWidth="1"/>
    <col min="14607" max="14607" width="21.7109375" style="42" customWidth="1"/>
    <col min="14608" max="14608" width="22.7109375" style="42" customWidth="1"/>
    <col min="14609" max="14609" width="1.7109375" style="42" customWidth="1"/>
    <col min="14610" max="14610" width="18.140625" style="42" customWidth="1"/>
    <col min="14611" max="14611" width="26.5703125" style="42" customWidth="1"/>
    <col min="14612" max="14612" width="15.85546875" style="42" customWidth="1"/>
    <col min="14613" max="14613" width="14" style="42" bestFit="1" customWidth="1"/>
    <col min="14614" max="14614" width="9.140625" style="42"/>
    <col min="14615" max="14615" width="25.85546875" style="42" customWidth="1"/>
    <col min="14616" max="14616" width="41.7109375" style="42" customWidth="1"/>
    <col min="14617" max="14617" width="9.28515625" style="42" customWidth="1"/>
    <col min="14618" max="14619" width="10.7109375" style="42" customWidth="1"/>
    <col min="14620" max="14620" width="15.7109375" style="42" customWidth="1"/>
    <col min="14621" max="14621" width="26.42578125" style="42" customWidth="1"/>
    <col min="14622" max="14622" width="17.42578125" style="42" customWidth="1"/>
    <col min="14623" max="14623" width="15.7109375" style="42" customWidth="1"/>
    <col min="14624" max="14848" width="9.140625" style="42"/>
    <col min="14849" max="14849" width="2" style="42" customWidth="1"/>
    <col min="14850" max="14850" width="3" style="42" customWidth="1"/>
    <col min="14851" max="14851" width="1.7109375" style="42" customWidth="1"/>
    <col min="14852" max="14852" width="16.140625" style="42" customWidth="1"/>
    <col min="14853" max="14853" width="17.140625" style="42" customWidth="1"/>
    <col min="14854" max="14854" width="13" style="42" customWidth="1"/>
    <col min="14855" max="14855" width="27" style="42" customWidth="1"/>
    <col min="14856" max="14856" width="11.140625" style="42" customWidth="1"/>
    <col min="14857" max="14857" width="24.7109375" style="42" customWidth="1"/>
    <col min="14858" max="14858" width="13.140625" style="42" customWidth="1"/>
    <col min="14859" max="14859" width="14" style="42" customWidth="1"/>
    <col min="14860" max="14860" width="17.140625" style="42" customWidth="1"/>
    <col min="14861" max="14861" width="15.7109375" style="42" customWidth="1"/>
    <col min="14862" max="14862" width="17.85546875" style="42" customWidth="1"/>
    <col min="14863" max="14863" width="21.7109375" style="42" customWidth="1"/>
    <col min="14864" max="14864" width="22.7109375" style="42" customWidth="1"/>
    <col min="14865" max="14865" width="1.7109375" style="42" customWidth="1"/>
    <col min="14866" max="14866" width="18.140625" style="42" customWidth="1"/>
    <col min="14867" max="14867" width="26.5703125" style="42" customWidth="1"/>
    <col min="14868" max="14868" width="15.85546875" style="42" customWidth="1"/>
    <col min="14869" max="14869" width="14" style="42" bestFit="1" customWidth="1"/>
    <col min="14870" max="14870" width="9.140625" style="42"/>
    <col min="14871" max="14871" width="25.85546875" style="42" customWidth="1"/>
    <col min="14872" max="14872" width="41.7109375" style="42" customWidth="1"/>
    <col min="14873" max="14873" width="9.28515625" style="42" customWidth="1"/>
    <col min="14874" max="14875" width="10.7109375" style="42" customWidth="1"/>
    <col min="14876" max="14876" width="15.7109375" style="42" customWidth="1"/>
    <col min="14877" max="14877" width="26.42578125" style="42" customWidth="1"/>
    <col min="14878" max="14878" width="17.42578125" style="42" customWidth="1"/>
    <col min="14879" max="14879" width="15.7109375" style="42" customWidth="1"/>
    <col min="14880" max="15104" width="9.140625" style="42"/>
    <col min="15105" max="15105" width="2" style="42" customWidth="1"/>
    <col min="15106" max="15106" width="3" style="42" customWidth="1"/>
    <col min="15107" max="15107" width="1.7109375" style="42" customWidth="1"/>
    <col min="15108" max="15108" width="16.140625" style="42" customWidth="1"/>
    <col min="15109" max="15109" width="17.140625" style="42" customWidth="1"/>
    <col min="15110" max="15110" width="13" style="42" customWidth="1"/>
    <col min="15111" max="15111" width="27" style="42" customWidth="1"/>
    <col min="15112" max="15112" width="11.140625" style="42" customWidth="1"/>
    <col min="15113" max="15113" width="24.7109375" style="42" customWidth="1"/>
    <col min="15114" max="15114" width="13.140625" style="42" customWidth="1"/>
    <col min="15115" max="15115" width="14" style="42" customWidth="1"/>
    <col min="15116" max="15116" width="17.140625" style="42" customWidth="1"/>
    <col min="15117" max="15117" width="15.7109375" style="42" customWidth="1"/>
    <col min="15118" max="15118" width="17.85546875" style="42" customWidth="1"/>
    <col min="15119" max="15119" width="21.7109375" style="42" customWidth="1"/>
    <col min="15120" max="15120" width="22.7109375" style="42" customWidth="1"/>
    <col min="15121" max="15121" width="1.7109375" style="42" customWidth="1"/>
    <col min="15122" max="15122" width="18.140625" style="42" customWidth="1"/>
    <col min="15123" max="15123" width="26.5703125" style="42" customWidth="1"/>
    <col min="15124" max="15124" width="15.85546875" style="42" customWidth="1"/>
    <col min="15125" max="15125" width="14" style="42" bestFit="1" customWidth="1"/>
    <col min="15126" max="15126" width="9.140625" style="42"/>
    <col min="15127" max="15127" width="25.85546875" style="42" customWidth="1"/>
    <col min="15128" max="15128" width="41.7109375" style="42" customWidth="1"/>
    <col min="15129" max="15129" width="9.28515625" style="42" customWidth="1"/>
    <col min="15130" max="15131" width="10.7109375" style="42" customWidth="1"/>
    <col min="15132" max="15132" width="15.7109375" style="42" customWidth="1"/>
    <col min="15133" max="15133" width="26.42578125" style="42" customWidth="1"/>
    <col min="15134" max="15134" width="17.42578125" style="42" customWidth="1"/>
    <col min="15135" max="15135" width="15.7109375" style="42" customWidth="1"/>
    <col min="15136" max="15360" width="9.140625" style="42"/>
    <col min="15361" max="15361" width="2" style="42" customWidth="1"/>
    <col min="15362" max="15362" width="3" style="42" customWidth="1"/>
    <col min="15363" max="15363" width="1.7109375" style="42" customWidth="1"/>
    <col min="15364" max="15364" width="16.140625" style="42" customWidth="1"/>
    <col min="15365" max="15365" width="17.140625" style="42" customWidth="1"/>
    <col min="15366" max="15366" width="13" style="42" customWidth="1"/>
    <col min="15367" max="15367" width="27" style="42" customWidth="1"/>
    <col min="15368" max="15368" width="11.140625" style="42" customWidth="1"/>
    <col min="15369" max="15369" width="24.7109375" style="42" customWidth="1"/>
    <col min="15370" max="15370" width="13.140625" style="42" customWidth="1"/>
    <col min="15371" max="15371" width="14" style="42" customWidth="1"/>
    <col min="15372" max="15372" width="17.140625" style="42" customWidth="1"/>
    <col min="15373" max="15373" width="15.7109375" style="42" customWidth="1"/>
    <col min="15374" max="15374" width="17.85546875" style="42" customWidth="1"/>
    <col min="15375" max="15375" width="21.7109375" style="42" customWidth="1"/>
    <col min="15376" max="15376" width="22.7109375" style="42" customWidth="1"/>
    <col min="15377" max="15377" width="1.7109375" style="42" customWidth="1"/>
    <col min="15378" max="15378" width="18.140625" style="42" customWidth="1"/>
    <col min="15379" max="15379" width="26.5703125" style="42" customWidth="1"/>
    <col min="15380" max="15380" width="15.85546875" style="42" customWidth="1"/>
    <col min="15381" max="15381" width="14" style="42" bestFit="1" customWidth="1"/>
    <col min="15382" max="15382" width="9.140625" style="42"/>
    <col min="15383" max="15383" width="25.85546875" style="42" customWidth="1"/>
    <col min="15384" max="15384" width="41.7109375" style="42" customWidth="1"/>
    <col min="15385" max="15385" width="9.28515625" style="42" customWidth="1"/>
    <col min="15386" max="15387" width="10.7109375" style="42" customWidth="1"/>
    <col min="15388" max="15388" width="15.7109375" style="42" customWidth="1"/>
    <col min="15389" max="15389" width="26.42578125" style="42" customWidth="1"/>
    <col min="15390" max="15390" width="17.42578125" style="42" customWidth="1"/>
    <col min="15391" max="15391" width="15.7109375" style="42" customWidth="1"/>
    <col min="15392" max="15616" width="9.140625" style="42"/>
    <col min="15617" max="15617" width="2" style="42" customWidth="1"/>
    <col min="15618" max="15618" width="3" style="42" customWidth="1"/>
    <col min="15619" max="15619" width="1.7109375" style="42" customWidth="1"/>
    <col min="15620" max="15620" width="16.140625" style="42" customWidth="1"/>
    <col min="15621" max="15621" width="17.140625" style="42" customWidth="1"/>
    <col min="15622" max="15622" width="13" style="42" customWidth="1"/>
    <col min="15623" max="15623" width="27" style="42" customWidth="1"/>
    <col min="15624" max="15624" width="11.140625" style="42" customWidth="1"/>
    <col min="15625" max="15625" width="24.7109375" style="42" customWidth="1"/>
    <col min="15626" max="15626" width="13.140625" style="42" customWidth="1"/>
    <col min="15627" max="15627" width="14" style="42" customWidth="1"/>
    <col min="15628" max="15628" width="17.140625" style="42" customWidth="1"/>
    <col min="15629" max="15629" width="15.7109375" style="42" customWidth="1"/>
    <col min="15630" max="15630" width="17.85546875" style="42" customWidth="1"/>
    <col min="15631" max="15631" width="21.7109375" style="42" customWidth="1"/>
    <col min="15632" max="15632" width="22.7109375" style="42" customWidth="1"/>
    <col min="15633" max="15633" width="1.7109375" style="42" customWidth="1"/>
    <col min="15634" max="15634" width="18.140625" style="42" customWidth="1"/>
    <col min="15635" max="15635" width="26.5703125" style="42" customWidth="1"/>
    <col min="15636" max="15636" width="15.85546875" style="42" customWidth="1"/>
    <col min="15637" max="15637" width="14" style="42" bestFit="1" customWidth="1"/>
    <col min="15638" max="15638" width="9.140625" style="42"/>
    <col min="15639" max="15639" width="25.85546875" style="42" customWidth="1"/>
    <col min="15640" max="15640" width="41.7109375" style="42" customWidth="1"/>
    <col min="15641" max="15641" width="9.28515625" style="42" customWidth="1"/>
    <col min="15642" max="15643" width="10.7109375" style="42" customWidth="1"/>
    <col min="15644" max="15644" width="15.7109375" style="42" customWidth="1"/>
    <col min="15645" max="15645" width="26.42578125" style="42" customWidth="1"/>
    <col min="15646" max="15646" width="17.42578125" style="42" customWidth="1"/>
    <col min="15647" max="15647" width="15.7109375" style="42" customWidth="1"/>
    <col min="15648" max="15872" width="9.140625" style="42"/>
    <col min="15873" max="15873" width="2" style="42" customWidth="1"/>
    <col min="15874" max="15874" width="3" style="42" customWidth="1"/>
    <col min="15875" max="15875" width="1.7109375" style="42" customWidth="1"/>
    <col min="15876" max="15876" width="16.140625" style="42" customWidth="1"/>
    <col min="15877" max="15877" width="17.140625" style="42" customWidth="1"/>
    <col min="15878" max="15878" width="13" style="42" customWidth="1"/>
    <col min="15879" max="15879" width="27" style="42" customWidth="1"/>
    <col min="15880" max="15880" width="11.140625" style="42" customWidth="1"/>
    <col min="15881" max="15881" width="24.7109375" style="42" customWidth="1"/>
    <col min="15882" max="15882" width="13.140625" style="42" customWidth="1"/>
    <col min="15883" max="15883" width="14" style="42" customWidth="1"/>
    <col min="15884" max="15884" width="17.140625" style="42" customWidth="1"/>
    <col min="15885" max="15885" width="15.7109375" style="42" customWidth="1"/>
    <col min="15886" max="15886" width="17.85546875" style="42" customWidth="1"/>
    <col min="15887" max="15887" width="21.7109375" style="42" customWidth="1"/>
    <col min="15888" max="15888" width="22.7109375" style="42" customWidth="1"/>
    <col min="15889" max="15889" width="1.7109375" style="42" customWidth="1"/>
    <col min="15890" max="15890" width="18.140625" style="42" customWidth="1"/>
    <col min="15891" max="15891" width="26.5703125" style="42" customWidth="1"/>
    <col min="15892" max="15892" width="15.85546875" style="42" customWidth="1"/>
    <col min="15893" max="15893" width="14" style="42" bestFit="1" customWidth="1"/>
    <col min="15894" max="15894" width="9.140625" style="42"/>
    <col min="15895" max="15895" width="25.85546875" style="42" customWidth="1"/>
    <col min="15896" max="15896" width="41.7109375" style="42" customWidth="1"/>
    <col min="15897" max="15897" width="9.28515625" style="42" customWidth="1"/>
    <col min="15898" max="15899" width="10.7109375" style="42" customWidth="1"/>
    <col min="15900" max="15900" width="15.7109375" style="42" customWidth="1"/>
    <col min="15901" max="15901" width="26.42578125" style="42" customWidth="1"/>
    <col min="15902" max="15902" width="17.42578125" style="42" customWidth="1"/>
    <col min="15903" max="15903" width="15.7109375" style="42" customWidth="1"/>
    <col min="15904" max="16128" width="9.140625" style="42"/>
    <col min="16129" max="16129" width="2" style="42" customWidth="1"/>
    <col min="16130" max="16130" width="3" style="42" customWidth="1"/>
    <col min="16131" max="16131" width="1.7109375" style="42" customWidth="1"/>
    <col min="16132" max="16132" width="16.140625" style="42" customWidth="1"/>
    <col min="16133" max="16133" width="17.140625" style="42" customWidth="1"/>
    <col min="16134" max="16134" width="13" style="42" customWidth="1"/>
    <col min="16135" max="16135" width="27" style="42" customWidth="1"/>
    <col min="16136" max="16136" width="11.140625" style="42" customWidth="1"/>
    <col min="16137" max="16137" width="24.7109375" style="42" customWidth="1"/>
    <col min="16138" max="16138" width="13.140625" style="42" customWidth="1"/>
    <col min="16139" max="16139" width="14" style="42" customWidth="1"/>
    <col min="16140" max="16140" width="17.140625" style="42" customWidth="1"/>
    <col min="16141" max="16141" width="15.7109375" style="42" customWidth="1"/>
    <col min="16142" max="16142" width="17.85546875" style="42" customWidth="1"/>
    <col min="16143" max="16143" width="21.7109375" style="42" customWidth="1"/>
    <col min="16144" max="16144" width="22.7109375" style="42" customWidth="1"/>
    <col min="16145" max="16145" width="1.7109375" style="42" customWidth="1"/>
    <col min="16146" max="16146" width="18.140625" style="42" customWidth="1"/>
    <col min="16147" max="16147" width="26.5703125" style="42" customWidth="1"/>
    <col min="16148" max="16148" width="15.85546875" style="42" customWidth="1"/>
    <col min="16149" max="16149" width="14" style="42" bestFit="1" customWidth="1"/>
    <col min="16150" max="16150" width="9.140625" style="42"/>
    <col min="16151" max="16151" width="25.85546875" style="42" customWidth="1"/>
    <col min="16152" max="16152" width="41.7109375" style="42" customWidth="1"/>
    <col min="16153" max="16153" width="9.28515625" style="42" customWidth="1"/>
    <col min="16154" max="16155" width="10.7109375" style="42" customWidth="1"/>
    <col min="16156" max="16156" width="15.7109375" style="42" customWidth="1"/>
    <col min="16157" max="16157" width="26.42578125" style="42" customWidth="1"/>
    <col min="16158" max="16158" width="17.42578125" style="42" customWidth="1"/>
    <col min="16159" max="16159" width="15.7109375" style="42" customWidth="1"/>
    <col min="16160" max="16384" width="9.140625" style="42"/>
  </cols>
  <sheetData>
    <row r="1" spans="2:28" ht="21" customHeight="1"/>
    <row r="2" spans="2:28" ht="102" customHeight="1"/>
    <row r="3" spans="2:28" ht="26.25" customHeight="1">
      <c r="D3" s="864" t="s">
        <v>215</v>
      </c>
      <c r="E3" s="865"/>
      <c r="F3" s="865"/>
      <c r="G3" s="865"/>
      <c r="H3" s="865"/>
      <c r="I3" s="865"/>
      <c r="J3" s="865"/>
      <c r="K3" s="865"/>
      <c r="L3" s="865"/>
      <c r="M3" s="865"/>
      <c r="N3" s="865"/>
      <c r="O3" s="865"/>
      <c r="P3" s="866"/>
      <c r="S3" s="217" t="s">
        <v>216</v>
      </c>
    </row>
    <row r="4" spans="2:28" ht="48" customHeight="1">
      <c r="B4" s="218" t="s">
        <v>217</v>
      </c>
      <c r="D4" s="855" t="s">
        <v>218</v>
      </c>
      <c r="E4" s="855"/>
      <c r="F4" s="855"/>
      <c r="G4" s="855" t="s">
        <v>219</v>
      </c>
      <c r="H4" s="855"/>
      <c r="I4" s="855" t="s">
        <v>220</v>
      </c>
      <c r="J4" s="855"/>
      <c r="K4" s="867" t="s">
        <v>221</v>
      </c>
      <c r="L4" s="867"/>
      <c r="M4" s="867"/>
      <c r="N4" s="867"/>
      <c r="O4" s="867"/>
      <c r="P4" s="219">
        <f>P9</f>
        <v>0.24229999999999999</v>
      </c>
      <c r="R4" s="220">
        <f>B6</f>
        <v>2</v>
      </c>
      <c r="S4" s="221">
        <f>VLOOKUP(R4,S29:$Z$42,8,0)</f>
        <v>0.24229999999999999</v>
      </c>
    </row>
    <row r="5" spans="2:28" ht="20.100000000000001" customHeight="1">
      <c r="B5" s="222">
        <v>2</v>
      </c>
      <c r="D5" s="831" t="s">
        <v>222</v>
      </c>
      <c r="E5" s="832"/>
      <c r="F5" s="833"/>
      <c r="G5" s="835" t="str">
        <f>VLOOKUP(B5,$S$29:$Z$42,2,0)</f>
        <v>De 0,32 até 0,74%</v>
      </c>
      <c r="H5" s="859"/>
      <c r="I5" s="223" t="s">
        <v>223</v>
      </c>
      <c r="J5" s="297">
        <v>4.1999999999999997E-3</v>
      </c>
      <c r="K5" s="856" t="s">
        <v>224</v>
      </c>
      <c r="L5" s="857"/>
      <c r="M5" s="857"/>
      <c r="N5" s="857"/>
      <c r="O5" s="857"/>
      <c r="P5" s="858"/>
    </row>
    <row r="6" spans="2:28" ht="20.100000000000001" customHeight="1">
      <c r="B6" s="222">
        <v>2</v>
      </c>
      <c r="D6" s="831" t="s">
        <v>225</v>
      </c>
      <c r="E6" s="832"/>
      <c r="F6" s="833"/>
      <c r="G6" s="835" t="str">
        <f>VLOOKUP(B6,$S$29:$Z$42,3,0)</f>
        <v>De 0,32 até 0,74%</v>
      </c>
      <c r="H6" s="859"/>
      <c r="I6" s="223" t="s">
        <v>226</v>
      </c>
      <c r="J6" s="297">
        <v>4.1999999999999997E-3</v>
      </c>
      <c r="K6" s="846"/>
      <c r="L6" s="847"/>
      <c r="M6" s="847"/>
      <c r="N6" s="847"/>
      <c r="O6" s="847"/>
      <c r="P6" s="848"/>
    </row>
    <row r="7" spans="2:28" ht="20.100000000000001" customHeight="1">
      <c r="B7" s="222">
        <f>B6</f>
        <v>2</v>
      </c>
      <c r="D7" s="831" t="s">
        <v>49</v>
      </c>
      <c r="E7" s="832"/>
      <c r="F7" s="833"/>
      <c r="G7" s="835" t="str">
        <f>VLOOKUP(B7,$S$29:$Z$42,4,0)</f>
        <v>De 0,50 até 0,97%</v>
      </c>
      <c r="H7" s="859"/>
      <c r="I7" s="224" t="s">
        <v>227</v>
      </c>
      <c r="J7" s="298">
        <v>8.0000000000000002E-3</v>
      </c>
      <c r="K7" s="846"/>
      <c r="L7" s="847"/>
      <c r="M7" s="847"/>
      <c r="N7" s="847"/>
      <c r="O7" s="847"/>
      <c r="P7" s="848"/>
    </row>
    <row r="8" spans="2:28" ht="20.100000000000001" customHeight="1">
      <c r="B8" s="222">
        <f>B6</f>
        <v>2</v>
      </c>
      <c r="D8" s="831" t="s">
        <v>8</v>
      </c>
      <c r="E8" s="832"/>
      <c r="F8" s="833"/>
      <c r="G8" s="835" t="str">
        <f>VLOOKUP(B8,$S$29:$Z$42,5,0)</f>
        <v>De 1,02 até 1,21%</v>
      </c>
      <c r="H8" s="859"/>
      <c r="I8" s="224" t="s">
        <v>228</v>
      </c>
      <c r="J8" s="298">
        <v>1.15E-2</v>
      </c>
      <c r="K8" s="225"/>
      <c r="P8" s="226"/>
    </row>
    <row r="9" spans="2:28" ht="20.100000000000001" customHeight="1">
      <c r="B9" s="222">
        <f>B6</f>
        <v>2</v>
      </c>
      <c r="D9" s="831" t="s">
        <v>9</v>
      </c>
      <c r="E9" s="832"/>
      <c r="F9" s="833"/>
      <c r="G9" s="835" t="str">
        <f>VLOOKUP(B9,$S$29:$Z$42,6,0)</f>
        <v>De 3,80 até 4,67%</v>
      </c>
      <c r="H9" s="859"/>
      <c r="I9" s="223" t="s">
        <v>229</v>
      </c>
      <c r="J9" s="298">
        <v>4.3299999999999998E-2</v>
      </c>
      <c r="K9" s="836" t="s">
        <v>230</v>
      </c>
      <c r="L9" s="837"/>
      <c r="M9" s="837"/>
      <c r="N9" s="837"/>
      <c r="O9" s="227" t="s">
        <v>231</v>
      </c>
      <c r="P9" s="228">
        <f>ROUND((ABS(((1+J9+J6+J7+J5)*(1+J8)*(1+J10))/(1-J11))-1),4)</f>
        <v>0.24229999999999999</v>
      </c>
    </row>
    <row r="10" spans="2:28" ht="20.100000000000001" customHeight="1">
      <c r="B10" s="222">
        <f>B6</f>
        <v>2</v>
      </c>
      <c r="D10" s="831" t="s">
        <v>5</v>
      </c>
      <c r="E10" s="832"/>
      <c r="F10" s="833"/>
      <c r="G10" s="835" t="str">
        <f>VLOOKUP(B10,$S$29:$Z$42,7,0)</f>
        <v>De 6,64 até 8,69%</v>
      </c>
      <c r="H10" s="859"/>
      <c r="I10" s="229" t="s">
        <v>232</v>
      </c>
      <c r="J10" s="238">
        <v>8.1900000000000001E-2</v>
      </c>
      <c r="K10" s="230"/>
      <c r="L10" s="239"/>
      <c r="M10" s="838" t="s">
        <v>233</v>
      </c>
      <c r="N10" s="838"/>
      <c r="O10" s="231"/>
      <c r="P10" s="232"/>
    </row>
    <row r="11" spans="2:28" s="216" customFormat="1" ht="20.100000000000001" customHeight="1">
      <c r="B11" s="42"/>
      <c r="C11" s="42"/>
      <c r="D11" s="229" t="s">
        <v>32</v>
      </c>
      <c r="E11" s="233"/>
      <c r="F11" s="234"/>
      <c r="G11" s="235" t="s">
        <v>51</v>
      </c>
      <c r="H11" s="299">
        <v>0.03</v>
      </c>
      <c r="I11" s="842" t="s">
        <v>33</v>
      </c>
      <c r="J11" s="861">
        <f>SUM(H11:H13)</f>
        <v>6.6500000000000004E-2</v>
      </c>
      <c r="K11" s="846" t="s">
        <v>234</v>
      </c>
      <c r="L11" s="847"/>
      <c r="M11" s="847"/>
      <c r="N11" s="847"/>
      <c r="O11" s="847"/>
      <c r="P11" s="848"/>
      <c r="Q11" s="42"/>
      <c r="R11" s="214"/>
      <c r="S11" s="215"/>
      <c r="Z11" s="42"/>
      <c r="AA11" s="42"/>
      <c r="AB11" s="42"/>
    </row>
    <row r="12" spans="2:28" s="216" customFormat="1" ht="20.100000000000001" customHeight="1">
      <c r="B12" s="42"/>
      <c r="C12" s="42"/>
      <c r="D12" s="846" t="s">
        <v>235</v>
      </c>
      <c r="E12" s="847"/>
      <c r="F12" s="848"/>
      <c r="G12" s="235" t="s">
        <v>50</v>
      </c>
      <c r="H12" s="299">
        <v>6.4999999999999997E-3</v>
      </c>
      <c r="I12" s="860"/>
      <c r="J12" s="862"/>
      <c r="K12" s="846"/>
      <c r="L12" s="847"/>
      <c r="M12" s="847"/>
      <c r="N12" s="847"/>
      <c r="O12" s="847"/>
      <c r="P12" s="848"/>
      <c r="Q12" s="42"/>
      <c r="R12" s="214"/>
      <c r="S12" s="215"/>
      <c r="Z12" s="42"/>
      <c r="AA12" s="42"/>
      <c r="AB12" s="42"/>
    </row>
    <row r="13" spans="2:28" s="216" customFormat="1" ht="20.100000000000001" customHeight="1">
      <c r="B13" s="42"/>
      <c r="C13" s="42"/>
      <c r="D13" s="849"/>
      <c r="E13" s="850"/>
      <c r="F13" s="851"/>
      <c r="G13" s="235" t="s">
        <v>236</v>
      </c>
      <c r="H13" s="299">
        <v>0.03</v>
      </c>
      <c r="I13" s="843"/>
      <c r="J13" s="863"/>
      <c r="K13" s="849"/>
      <c r="L13" s="850"/>
      <c r="M13" s="850"/>
      <c r="N13" s="850"/>
      <c r="O13" s="850"/>
      <c r="P13" s="851"/>
      <c r="Q13" s="42"/>
      <c r="R13" s="214"/>
      <c r="S13" s="215"/>
      <c r="Z13" s="42"/>
      <c r="AA13" s="42"/>
      <c r="AB13" s="42"/>
    </row>
    <row r="14" spans="2:28" s="216" customFormat="1" ht="6.75" customHeight="1">
      <c r="B14" s="42"/>
      <c r="C14" s="42"/>
      <c r="D14" s="42"/>
      <c r="E14" s="42"/>
      <c r="F14" s="239"/>
      <c r="G14" s="239"/>
      <c r="H14" s="239"/>
      <c r="I14" s="239"/>
      <c r="J14" s="42"/>
      <c r="K14" s="211"/>
      <c r="L14" s="42"/>
      <c r="M14" s="212"/>
      <c r="N14" s="213"/>
      <c r="O14" s="213"/>
      <c r="P14" s="213"/>
      <c r="Q14" s="42"/>
      <c r="R14" s="214"/>
      <c r="S14" s="215"/>
      <c r="Z14" s="42"/>
      <c r="AA14" s="42"/>
      <c r="AB14" s="42"/>
    </row>
    <row r="15" spans="2:28" s="216" customFormat="1" ht="12" customHeight="1">
      <c r="B15" s="42"/>
      <c r="C15" s="42"/>
      <c r="D15" s="42"/>
      <c r="E15" s="42"/>
      <c r="F15" s="42"/>
      <c r="G15" s="42"/>
      <c r="H15" s="42"/>
      <c r="I15" s="42"/>
      <c r="J15" s="42"/>
      <c r="K15" s="211"/>
      <c r="L15" s="42"/>
      <c r="M15" s="212"/>
      <c r="N15" s="213"/>
      <c r="O15" s="213"/>
      <c r="P15" s="213"/>
      <c r="Q15" s="42"/>
      <c r="R15" s="42"/>
      <c r="S15" s="215"/>
      <c r="Z15" s="42"/>
      <c r="AA15" s="42"/>
      <c r="AB15" s="42"/>
    </row>
    <row r="16" spans="2:28" ht="34.5" customHeight="1">
      <c r="D16" s="852" t="s">
        <v>237</v>
      </c>
      <c r="E16" s="853"/>
      <c r="F16" s="853"/>
      <c r="G16" s="853"/>
      <c r="H16" s="853"/>
      <c r="I16" s="853"/>
      <c r="J16" s="853"/>
      <c r="K16" s="853"/>
      <c r="L16" s="853"/>
      <c r="M16" s="853"/>
      <c r="N16" s="853"/>
      <c r="O16" s="853"/>
      <c r="P16" s="854"/>
      <c r="R16" s="42"/>
    </row>
    <row r="17" spans="2:28" ht="36" customHeight="1">
      <c r="D17" s="855" t="s">
        <v>218</v>
      </c>
      <c r="E17" s="855"/>
      <c r="F17" s="855"/>
      <c r="G17" s="855" t="s">
        <v>219</v>
      </c>
      <c r="H17" s="855"/>
      <c r="I17" s="855" t="s">
        <v>220</v>
      </c>
      <c r="J17" s="855"/>
      <c r="K17" s="855" t="s">
        <v>238</v>
      </c>
      <c r="L17" s="855"/>
      <c r="M17" s="855"/>
      <c r="N17" s="855"/>
      <c r="O17" s="855"/>
      <c r="P17" s="219">
        <f>P22</f>
        <v>0.16800000000000001</v>
      </c>
      <c r="S17" s="217" t="s">
        <v>239</v>
      </c>
    </row>
    <row r="18" spans="2:28" ht="20.100000000000001" customHeight="1">
      <c r="D18" s="831" t="s">
        <v>240</v>
      </c>
      <c r="E18" s="832"/>
      <c r="F18" s="833"/>
      <c r="G18" s="834" t="s">
        <v>241</v>
      </c>
      <c r="H18" s="835"/>
      <c r="I18" s="223" t="s">
        <v>242</v>
      </c>
      <c r="J18" s="297">
        <v>3.2000000000000002E-3</v>
      </c>
      <c r="K18" s="300"/>
      <c r="L18" s="301"/>
      <c r="M18" s="301"/>
      <c r="N18" s="301"/>
      <c r="O18" s="301"/>
      <c r="P18" s="302"/>
    </row>
    <row r="19" spans="2:28" ht="20.100000000000001" customHeight="1">
      <c r="D19" s="831" t="s">
        <v>225</v>
      </c>
      <c r="E19" s="832"/>
      <c r="F19" s="833"/>
      <c r="G19" s="834" t="s">
        <v>241</v>
      </c>
      <c r="H19" s="835"/>
      <c r="I19" s="223" t="s">
        <v>226</v>
      </c>
      <c r="J19" s="297">
        <v>3.2000000000000002E-3</v>
      </c>
      <c r="K19" s="856" t="s">
        <v>224</v>
      </c>
      <c r="L19" s="857"/>
      <c r="M19" s="857"/>
      <c r="N19" s="857"/>
      <c r="O19" s="857"/>
      <c r="P19" s="858"/>
    </row>
    <row r="20" spans="2:28" ht="20.100000000000001" customHeight="1">
      <c r="D20" s="831" t="s">
        <v>49</v>
      </c>
      <c r="E20" s="832"/>
      <c r="F20" s="833"/>
      <c r="G20" s="834" t="s">
        <v>243</v>
      </c>
      <c r="H20" s="835"/>
      <c r="I20" s="224" t="s">
        <v>227</v>
      </c>
      <c r="J20" s="297">
        <v>6.1000000000000004E-3</v>
      </c>
      <c r="K20" s="846"/>
      <c r="L20" s="847"/>
      <c r="M20" s="847"/>
      <c r="N20" s="847"/>
      <c r="O20" s="847"/>
      <c r="P20" s="848"/>
      <c r="S20" s="237"/>
    </row>
    <row r="21" spans="2:28" ht="20.100000000000001" customHeight="1">
      <c r="D21" s="831" t="s">
        <v>8</v>
      </c>
      <c r="E21" s="832"/>
      <c r="F21" s="833"/>
      <c r="G21" s="834" t="s">
        <v>244</v>
      </c>
      <c r="H21" s="835"/>
      <c r="I21" s="224" t="s">
        <v>228</v>
      </c>
      <c r="J21" s="297">
        <v>1.0500000000000001E-2</v>
      </c>
      <c r="K21" s="225"/>
      <c r="P21" s="226"/>
    </row>
    <row r="22" spans="2:28" ht="20.100000000000001" customHeight="1">
      <c r="D22" s="831" t="s">
        <v>9</v>
      </c>
      <c r="E22" s="832"/>
      <c r="F22" s="833"/>
      <c r="G22" s="834" t="s">
        <v>245</v>
      </c>
      <c r="H22" s="835"/>
      <c r="I22" s="223" t="s">
        <v>229</v>
      </c>
      <c r="J22" s="297">
        <v>3.95E-2</v>
      </c>
      <c r="K22" s="836" t="s">
        <v>230</v>
      </c>
      <c r="L22" s="837"/>
      <c r="M22" s="837"/>
      <c r="N22" s="837"/>
      <c r="O22" s="227" t="s">
        <v>231</v>
      </c>
      <c r="P22" s="228">
        <f>ROUND((ABS(((1+J22+J19+J20+J18)*(1+J21)*(1+J23))/(1-J24))-1),4)</f>
        <v>0.16800000000000001</v>
      </c>
    </row>
    <row r="23" spans="2:28" ht="20.100000000000001" customHeight="1">
      <c r="D23" s="831" t="s">
        <v>5</v>
      </c>
      <c r="E23" s="832"/>
      <c r="F23" s="833"/>
      <c r="G23" s="834" t="s">
        <v>246</v>
      </c>
      <c r="H23" s="835"/>
      <c r="I23" s="229" t="s">
        <v>232</v>
      </c>
      <c r="J23" s="297">
        <v>5.8599999999999999E-2</v>
      </c>
      <c r="K23" s="230"/>
      <c r="L23" s="239"/>
      <c r="M23" s="838" t="s">
        <v>233</v>
      </c>
      <c r="N23" s="838"/>
      <c r="O23" s="231"/>
      <c r="P23" s="232"/>
    </row>
    <row r="24" spans="2:28" ht="20.100000000000001" customHeight="1">
      <c r="D24" s="839" t="s">
        <v>32</v>
      </c>
      <c r="E24" s="840"/>
      <c r="F24" s="841"/>
      <c r="G24" s="235" t="s">
        <v>50</v>
      </c>
      <c r="H24" s="236">
        <f>H12</f>
        <v>6.4999999999999997E-3</v>
      </c>
      <c r="I24" s="842" t="s">
        <v>33</v>
      </c>
      <c r="J24" s="844">
        <f>SUM(H24:H25)</f>
        <v>3.6499999999999998E-2</v>
      </c>
      <c r="K24" s="846" t="s">
        <v>234</v>
      </c>
      <c r="L24" s="847"/>
      <c r="M24" s="847"/>
      <c r="N24" s="847"/>
      <c r="O24" s="847"/>
      <c r="P24" s="848"/>
    </row>
    <row r="25" spans="2:28" ht="30" customHeight="1">
      <c r="D25" s="814" t="s">
        <v>247</v>
      </c>
      <c r="E25" s="815"/>
      <c r="F25" s="816"/>
      <c r="G25" s="235" t="s">
        <v>236</v>
      </c>
      <c r="H25" s="236">
        <f>H13</f>
        <v>0.03</v>
      </c>
      <c r="I25" s="843"/>
      <c r="J25" s="845"/>
      <c r="K25" s="849"/>
      <c r="L25" s="850"/>
      <c r="M25" s="850"/>
      <c r="N25" s="850"/>
      <c r="O25" s="850"/>
      <c r="P25" s="851"/>
    </row>
    <row r="26" spans="2:28" ht="9.75" customHeight="1">
      <c r="D26" s="830"/>
      <c r="E26" s="830"/>
      <c r="F26" s="830"/>
      <c r="G26" s="830"/>
      <c r="H26" s="830"/>
      <c r="I26" s="830"/>
      <c r="J26" s="830"/>
      <c r="K26" s="830"/>
      <c r="L26" s="830"/>
      <c r="M26" s="830"/>
      <c r="N26" s="830"/>
      <c r="O26" s="830"/>
      <c r="P26" s="830"/>
    </row>
    <row r="27" spans="2:28" ht="21.95" customHeight="1">
      <c r="D27" s="824"/>
      <c r="E27" s="824"/>
      <c r="F27" s="824"/>
      <c r="G27" s="824"/>
      <c r="H27" s="824"/>
      <c r="I27" s="824"/>
      <c r="J27" s="824"/>
      <c r="K27" s="824"/>
      <c r="L27" s="824"/>
      <c r="M27" s="824"/>
      <c r="N27" s="824"/>
      <c r="O27" s="824"/>
      <c r="P27" s="824"/>
      <c r="S27" s="825" t="s">
        <v>248</v>
      </c>
      <c r="T27" s="826"/>
      <c r="U27" s="826"/>
      <c r="V27" s="826"/>
      <c r="W27" s="826"/>
      <c r="X27" s="826"/>
      <c r="Y27" s="826"/>
      <c r="Z27" s="827"/>
      <c r="AA27" s="214"/>
      <c r="AB27" s="214"/>
    </row>
    <row r="28" spans="2:28" ht="21.95" customHeight="1">
      <c r="K28" s="214"/>
      <c r="L28" s="214"/>
      <c r="M28" s="214"/>
      <c r="N28" s="214"/>
      <c r="O28" s="214"/>
      <c r="P28" s="214"/>
      <c r="S28" s="821" t="s">
        <v>249</v>
      </c>
      <c r="T28" s="822"/>
      <c r="U28" s="822"/>
      <c r="V28" s="822"/>
      <c r="W28" s="822"/>
      <c r="X28" s="822"/>
      <c r="Y28" s="822"/>
      <c r="Z28" s="823"/>
      <c r="AA28" s="214"/>
      <c r="AB28" s="214"/>
    </row>
    <row r="29" spans="2:28" ht="21.95" customHeight="1">
      <c r="B29" s="828" t="s">
        <v>250</v>
      </c>
      <c r="C29" s="828"/>
      <c r="D29" s="828"/>
      <c r="E29" s="828"/>
      <c r="F29" s="828"/>
      <c r="G29" s="828"/>
      <c r="H29" s="828"/>
      <c r="I29" s="828"/>
      <c r="J29" s="828"/>
      <c r="K29" s="828"/>
      <c r="L29" s="828"/>
      <c r="M29" s="214"/>
      <c r="N29" s="214"/>
      <c r="O29" s="214"/>
      <c r="P29" s="214"/>
      <c r="S29" s="240"/>
      <c r="T29" s="241" t="s">
        <v>222</v>
      </c>
      <c r="U29" s="241" t="s">
        <v>225</v>
      </c>
      <c r="V29" s="241" t="s">
        <v>49</v>
      </c>
      <c r="W29" s="241" t="s">
        <v>8</v>
      </c>
      <c r="X29" s="241" t="s">
        <v>9</v>
      </c>
      <c r="Y29" s="241" t="s">
        <v>5</v>
      </c>
      <c r="Z29" s="242" t="s">
        <v>216</v>
      </c>
    </row>
    <row r="30" spans="2:28" ht="36" customHeight="1">
      <c r="B30" s="243" t="s">
        <v>251</v>
      </c>
      <c r="C30" s="829" t="s">
        <v>252</v>
      </c>
      <c r="D30" s="829"/>
      <c r="E30" s="829"/>
      <c r="F30" s="829"/>
      <c r="G30" s="829"/>
      <c r="H30" s="829"/>
      <c r="I30" s="829"/>
      <c r="J30" s="829"/>
      <c r="K30" s="829"/>
      <c r="L30" s="829"/>
      <c r="M30" s="244"/>
      <c r="N30" s="244"/>
      <c r="O30" s="244"/>
      <c r="P30" s="244"/>
      <c r="S30" s="245">
        <v>1</v>
      </c>
      <c r="T30" s="246" t="s">
        <v>253</v>
      </c>
      <c r="U30" s="246" t="s">
        <v>253</v>
      </c>
      <c r="V30" s="246" t="s">
        <v>254</v>
      </c>
      <c r="W30" s="246" t="s">
        <v>255</v>
      </c>
      <c r="X30" s="246" t="s">
        <v>256</v>
      </c>
      <c r="Y30" s="246" t="s">
        <v>257</v>
      </c>
      <c r="Z30" s="247">
        <v>0.25</v>
      </c>
    </row>
    <row r="31" spans="2:28" ht="31.5" customHeight="1">
      <c r="B31" s="243" t="s">
        <v>258</v>
      </c>
      <c r="C31" s="829" t="s">
        <v>259</v>
      </c>
      <c r="D31" s="829"/>
      <c r="E31" s="829"/>
      <c r="F31" s="829"/>
      <c r="G31" s="829"/>
      <c r="H31" s="829"/>
      <c r="I31" s="829"/>
      <c r="J31" s="829"/>
      <c r="K31" s="829"/>
      <c r="L31" s="829"/>
      <c r="M31" s="214"/>
      <c r="N31" s="214"/>
      <c r="O31" s="214"/>
      <c r="P31" s="214"/>
      <c r="S31" s="821" t="s">
        <v>260</v>
      </c>
      <c r="T31" s="822"/>
      <c r="U31" s="822"/>
      <c r="V31" s="822"/>
      <c r="W31" s="822"/>
      <c r="X31" s="822"/>
      <c r="Y31" s="822"/>
      <c r="Z31" s="823"/>
      <c r="AA31" s="214"/>
      <c r="AB31" s="214"/>
    </row>
    <row r="32" spans="2:28" ht="25.5" customHeight="1">
      <c r="B32" s="243" t="s">
        <v>261</v>
      </c>
      <c r="C32" s="829" t="s">
        <v>262</v>
      </c>
      <c r="D32" s="829"/>
      <c r="E32" s="829"/>
      <c r="F32" s="829"/>
      <c r="G32" s="829"/>
      <c r="H32" s="829"/>
      <c r="I32" s="829"/>
      <c r="J32" s="829"/>
      <c r="K32" s="829"/>
      <c r="L32" s="829"/>
      <c r="M32" s="244"/>
      <c r="N32" s="244"/>
      <c r="O32" s="244"/>
      <c r="P32" s="244"/>
      <c r="S32" s="240"/>
      <c r="T32" s="241" t="s">
        <v>222</v>
      </c>
      <c r="U32" s="241" t="s">
        <v>225</v>
      </c>
      <c r="V32" s="241" t="s">
        <v>49</v>
      </c>
      <c r="W32" s="241" t="s">
        <v>8</v>
      </c>
      <c r="X32" s="241" t="s">
        <v>9</v>
      </c>
      <c r="Y32" s="241" t="s">
        <v>5</v>
      </c>
      <c r="Z32" s="242" t="s">
        <v>216</v>
      </c>
    </row>
    <row r="33" spans="2:28" ht="39" customHeight="1">
      <c r="B33" s="248" t="s">
        <v>263</v>
      </c>
      <c r="C33" s="829" t="s">
        <v>264</v>
      </c>
      <c r="D33" s="829"/>
      <c r="E33" s="829"/>
      <c r="F33" s="829"/>
      <c r="G33" s="829"/>
      <c r="H33" s="829"/>
      <c r="I33" s="829"/>
      <c r="J33" s="829"/>
      <c r="K33" s="829"/>
      <c r="L33" s="829"/>
      <c r="S33" s="245">
        <v>2</v>
      </c>
      <c r="T33" s="246" t="s">
        <v>265</v>
      </c>
      <c r="U33" s="246" t="s">
        <v>265</v>
      </c>
      <c r="V33" s="246" t="s">
        <v>266</v>
      </c>
      <c r="W33" s="246" t="s">
        <v>267</v>
      </c>
      <c r="X33" s="246" t="s">
        <v>268</v>
      </c>
      <c r="Y33" s="246" t="s">
        <v>269</v>
      </c>
      <c r="Z33" s="247">
        <v>0.24229999999999999</v>
      </c>
    </row>
    <row r="34" spans="2:28" ht="29.25" customHeight="1">
      <c r="B34" s="248" t="s">
        <v>270</v>
      </c>
      <c r="C34" s="829" t="s">
        <v>271</v>
      </c>
      <c r="D34" s="829"/>
      <c r="E34" s="829"/>
      <c r="F34" s="829"/>
      <c r="G34" s="829"/>
      <c r="H34" s="829"/>
      <c r="I34" s="829"/>
      <c r="J34" s="829"/>
      <c r="K34" s="829"/>
      <c r="L34" s="829"/>
      <c r="S34" s="821" t="s">
        <v>272</v>
      </c>
      <c r="T34" s="822"/>
      <c r="U34" s="822"/>
      <c r="V34" s="822"/>
      <c r="W34" s="822"/>
      <c r="X34" s="822"/>
      <c r="Y34" s="822"/>
      <c r="Z34" s="823"/>
      <c r="AA34" s="214"/>
      <c r="AB34" s="214"/>
    </row>
    <row r="35" spans="2:28" ht="40.5" customHeight="1">
      <c r="B35" s="248" t="s">
        <v>273</v>
      </c>
      <c r="C35" s="829" t="s">
        <v>274</v>
      </c>
      <c r="D35" s="829"/>
      <c r="E35" s="829"/>
      <c r="F35" s="829"/>
      <c r="G35" s="829"/>
      <c r="H35" s="829"/>
      <c r="I35" s="829"/>
      <c r="J35" s="829"/>
      <c r="K35" s="829"/>
      <c r="L35" s="829"/>
      <c r="S35" s="240"/>
      <c r="T35" s="241" t="s">
        <v>222</v>
      </c>
      <c r="U35" s="241" t="s">
        <v>225</v>
      </c>
      <c r="V35" s="241" t="s">
        <v>49</v>
      </c>
      <c r="W35" s="241" t="s">
        <v>8</v>
      </c>
      <c r="X35" s="241" t="s">
        <v>9</v>
      </c>
      <c r="Y35" s="241" t="s">
        <v>5</v>
      </c>
      <c r="Z35" s="242" t="s">
        <v>216</v>
      </c>
    </row>
    <row r="36" spans="2:28" ht="21.75" customHeight="1">
      <c r="S36" s="245">
        <v>3</v>
      </c>
      <c r="T36" s="246" t="s">
        <v>275</v>
      </c>
      <c r="U36" s="246" t="s">
        <v>275</v>
      </c>
      <c r="V36" s="246" t="s">
        <v>276</v>
      </c>
      <c r="W36" s="246" t="s">
        <v>277</v>
      </c>
      <c r="X36" s="246" t="s">
        <v>278</v>
      </c>
      <c r="Y36" s="246" t="s">
        <v>279</v>
      </c>
      <c r="Z36" s="247">
        <v>0.26440000000000002</v>
      </c>
    </row>
    <row r="37" spans="2:28" ht="33" customHeight="1">
      <c r="S37" s="821" t="s">
        <v>280</v>
      </c>
      <c r="T37" s="822"/>
      <c r="U37" s="822"/>
      <c r="V37" s="822"/>
      <c r="W37" s="822"/>
      <c r="X37" s="822"/>
      <c r="Y37" s="822"/>
      <c r="Z37" s="823"/>
      <c r="AA37" s="214"/>
      <c r="AB37" s="214"/>
    </row>
    <row r="38" spans="2:28" ht="21.95" customHeight="1">
      <c r="S38" s="240"/>
      <c r="T38" s="241" t="s">
        <v>222</v>
      </c>
      <c r="U38" s="241" t="s">
        <v>225</v>
      </c>
      <c r="V38" s="241" t="s">
        <v>49</v>
      </c>
      <c r="W38" s="241" t="s">
        <v>8</v>
      </c>
      <c r="X38" s="241" t="s">
        <v>9</v>
      </c>
      <c r="Y38" s="241" t="s">
        <v>5</v>
      </c>
      <c r="Z38" s="242" t="s">
        <v>216</v>
      </c>
    </row>
    <row r="39" spans="2:28" ht="21.95" customHeight="1">
      <c r="S39" s="245">
        <v>4</v>
      </c>
      <c r="T39" s="246" t="s">
        <v>281</v>
      </c>
      <c r="U39" s="246" t="s">
        <v>281</v>
      </c>
      <c r="V39" s="246" t="s">
        <v>282</v>
      </c>
      <c r="W39" s="246" t="s">
        <v>283</v>
      </c>
      <c r="X39" s="246" t="s">
        <v>284</v>
      </c>
      <c r="Y39" s="246" t="s">
        <v>285</v>
      </c>
      <c r="Z39" s="247">
        <v>0.27860000000000001</v>
      </c>
    </row>
    <row r="40" spans="2:28" ht="21.95" customHeight="1">
      <c r="S40" s="821" t="s">
        <v>286</v>
      </c>
      <c r="T40" s="822"/>
      <c r="U40" s="822"/>
      <c r="V40" s="822"/>
      <c r="W40" s="822"/>
      <c r="X40" s="822"/>
      <c r="Y40" s="822"/>
      <c r="Z40" s="823"/>
      <c r="AA40" s="214"/>
      <c r="AB40" s="214"/>
    </row>
    <row r="41" spans="2:28" ht="21.95" customHeight="1">
      <c r="S41" s="240"/>
      <c r="T41" s="241" t="s">
        <v>222</v>
      </c>
      <c r="U41" s="241" t="s">
        <v>225</v>
      </c>
      <c r="V41" s="241" t="s">
        <v>49</v>
      </c>
      <c r="W41" s="241" t="s">
        <v>8</v>
      </c>
      <c r="X41" s="241" t="s">
        <v>9</v>
      </c>
      <c r="Y41" s="241" t="s">
        <v>5</v>
      </c>
      <c r="Z41" s="242" t="s">
        <v>216</v>
      </c>
    </row>
    <row r="42" spans="2:28" ht="21.95" customHeight="1">
      <c r="S42" s="249">
        <v>5</v>
      </c>
      <c r="T42" s="250" t="s">
        <v>287</v>
      </c>
      <c r="U42" s="250" t="s">
        <v>287</v>
      </c>
      <c r="V42" s="250" t="s">
        <v>288</v>
      </c>
      <c r="W42" s="250" t="s">
        <v>289</v>
      </c>
      <c r="X42" s="250" t="s">
        <v>290</v>
      </c>
      <c r="Y42" s="250" t="s">
        <v>291</v>
      </c>
      <c r="Z42" s="251">
        <v>0.3095</v>
      </c>
    </row>
    <row r="43" spans="2:28" ht="21.95" customHeight="1">
      <c r="S43" s="241"/>
      <c r="T43" s="241"/>
      <c r="U43" s="241"/>
      <c r="V43" s="241"/>
      <c r="W43" s="241"/>
      <c r="X43" s="241"/>
      <c r="Y43" s="241"/>
      <c r="Z43" s="214"/>
      <c r="AA43" s="214"/>
      <c r="AB43" s="214"/>
    </row>
    <row r="44" spans="2:28" ht="20.100000000000001" customHeight="1">
      <c r="S44" s="216"/>
      <c r="T44" s="241"/>
      <c r="U44" s="241"/>
      <c r="V44" s="241"/>
      <c r="W44" s="241"/>
      <c r="X44" s="241"/>
      <c r="Y44" s="241"/>
      <c r="Z44" s="214"/>
    </row>
    <row r="45" spans="2:28" ht="20.100000000000001" customHeight="1">
      <c r="S45" s="220"/>
      <c r="T45" s="246"/>
      <c r="U45" s="246"/>
      <c r="V45" s="246"/>
      <c r="W45" s="246"/>
      <c r="X45" s="246"/>
      <c r="Y45" s="246"/>
      <c r="Z45" s="244"/>
    </row>
    <row r="46" spans="2:28" ht="20.100000000000001" customHeight="1">
      <c r="S46" s="241"/>
      <c r="T46" s="241"/>
      <c r="U46" s="241"/>
      <c r="V46" s="241"/>
      <c r="W46" s="241"/>
      <c r="X46" s="241"/>
      <c r="Y46" s="241"/>
      <c r="Z46" s="214"/>
      <c r="AA46" s="214"/>
      <c r="AB46" s="214"/>
    </row>
    <row r="47" spans="2:28" ht="20.100000000000001" customHeight="1">
      <c r="S47" s="817" t="s">
        <v>292</v>
      </c>
      <c r="T47" s="817"/>
      <c r="U47" s="817"/>
      <c r="V47" s="817"/>
      <c r="W47" s="252"/>
      <c r="X47" s="241"/>
      <c r="Y47" s="241"/>
      <c r="Z47" s="214"/>
    </row>
    <row r="48" spans="2:28" ht="24.95" customHeight="1">
      <c r="S48" s="817" t="str">
        <f>S28</f>
        <v>CONSTRUÇÃO DE EDIFÍCIOS</v>
      </c>
      <c r="T48" s="817"/>
      <c r="U48" s="818" t="s">
        <v>293</v>
      </c>
      <c r="V48" s="818"/>
      <c r="W48" s="253"/>
      <c r="X48" s="246"/>
      <c r="Y48" s="246"/>
      <c r="Z48" s="244"/>
    </row>
    <row r="49" spans="2:28" ht="24.95" customHeight="1">
      <c r="S49" s="817"/>
      <c r="T49" s="817"/>
      <c r="U49" s="818" t="s">
        <v>294</v>
      </c>
      <c r="V49" s="818"/>
      <c r="W49" s="253"/>
    </row>
    <row r="50" spans="2:28" ht="24.95" customHeight="1">
      <c r="S50" s="817"/>
      <c r="T50" s="817"/>
      <c r="U50" s="818" t="s">
        <v>295</v>
      </c>
      <c r="V50" s="818"/>
      <c r="W50" s="253"/>
    </row>
    <row r="51" spans="2:28" ht="24.95" customHeight="1">
      <c r="S51" s="817" t="str">
        <f>S31</f>
        <v>CONSTRUÇÃO DE RODOVIAS E FERROVIAS</v>
      </c>
      <c r="T51" s="817"/>
      <c r="U51" s="818" t="s">
        <v>296</v>
      </c>
      <c r="V51" s="818"/>
      <c r="W51" s="253"/>
    </row>
    <row r="52" spans="2:28" ht="24.95" customHeight="1">
      <c r="S52" s="817"/>
      <c r="T52" s="817"/>
      <c r="U52" s="818" t="s">
        <v>297</v>
      </c>
      <c r="V52" s="818"/>
      <c r="W52" s="253"/>
    </row>
    <row r="53" spans="2:28" ht="24.95" customHeight="1">
      <c r="S53" s="817"/>
      <c r="T53" s="817"/>
      <c r="U53" s="818" t="s">
        <v>298</v>
      </c>
      <c r="V53" s="818"/>
      <c r="W53" s="253"/>
    </row>
    <row r="54" spans="2:28" ht="24.95" customHeight="1">
      <c r="S54" s="819" t="str">
        <f>S34</f>
        <v>CONSTRUÇÃO DE REDES DE ABASTECIMENTO DE ÁGUA, COLETA DE ESGOTO E CONSTR. CORRELATAS</v>
      </c>
      <c r="T54" s="819"/>
      <c r="U54" s="818" t="s">
        <v>299</v>
      </c>
      <c r="V54" s="818"/>
      <c r="W54" s="253"/>
    </row>
    <row r="55" spans="2:28" ht="24.95" customHeight="1">
      <c r="S55" s="819"/>
      <c r="T55" s="819"/>
      <c r="U55" s="818"/>
      <c r="V55" s="818"/>
      <c r="W55" s="253"/>
    </row>
    <row r="56" spans="2:28" ht="24.95" customHeight="1">
      <c r="S56" s="819"/>
      <c r="T56" s="819"/>
      <c r="U56" s="818" t="s">
        <v>300</v>
      </c>
      <c r="V56" s="818"/>
      <c r="W56" s="253"/>
    </row>
    <row r="57" spans="2:28" ht="24.95" customHeight="1">
      <c r="S57" s="819"/>
      <c r="T57" s="819"/>
      <c r="U57" s="818"/>
      <c r="V57" s="818"/>
      <c r="W57" s="253"/>
    </row>
    <row r="58" spans="2:28" ht="24.95" customHeight="1">
      <c r="S58" s="819" t="str">
        <f>S37</f>
        <v>CONSTRUÇÃO E MANUTENÇÃO DE ESTAÇÕES E REDES DE DISTRIBUIÇÃO DE ENERGIA ELÉTRICA</v>
      </c>
      <c r="T58" s="819"/>
      <c r="U58" s="820" t="s">
        <v>301</v>
      </c>
      <c r="V58" s="820"/>
      <c r="W58" s="254"/>
    </row>
    <row r="59" spans="2:28" ht="24.95" customHeight="1">
      <c r="S59" s="819"/>
      <c r="T59" s="819"/>
      <c r="U59" s="820"/>
      <c r="V59" s="820"/>
      <c r="W59" s="254"/>
    </row>
    <row r="60" spans="2:28" ht="24.95" customHeight="1">
      <c r="S60" s="819"/>
      <c r="T60" s="819"/>
      <c r="U60" s="820"/>
      <c r="V60" s="820"/>
      <c r="W60" s="254"/>
    </row>
    <row r="61" spans="2:28" ht="24.95" customHeight="1">
      <c r="S61" s="819" t="str">
        <f>S40</f>
        <v>OBRAS PORTUÁRIAS, MARÍTIMAS E FLUVIAIS</v>
      </c>
      <c r="T61" s="819"/>
      <c r="U61" s="818" t="s">
        <v>302</v>
      </c>
      <c r="V61" s="818"/>
      <c r="W61" s="253"/>
    </row>
    <row r="62" spans="2:28" ht="24.95" customHeight="1">
      <c r="S62" s="819"/>
      <c r="T62" s="819"/>
      <c r="U62" s="818"/>
      <c r="V62" s="818"/>
      <c r="W62" s="253"/>
    </row>
    <row r="63" spans="2:28" s="216" customFormat="1" ht="24.95" customHeight="1">
      <c r="B63" s="42"/>
      <c r="C63" s="42"/>
      <c r="D63" s="42"/>
      <c r="E63" s="42"/>
      <c r="F63" s="42"/>
      <c r="G63" s="42"/>
      <c r="H63" s="42"/>
      <c r="I63" s="42"/>
      <c r="J63" s="42"/>
      <c r="K63" s="211"/>
      <c r="L63" s="42"/>
      <c r="M63" s="212"/>
      <c r="N63" s="213"/>
      <c r="O63" s="213"/>
      <c r="P63" s="213"/>
      <c r="Q63" s="42"/>
      <c r="R63" s="214"/>
      <c r="S63" s="819"/>
      <c r="T63" s="819"/>
      <c r="U63" s="818" t="s">
        <v>303</v>
      </c>
      <c r="V63" s="818"/>
      <c r="W63" s="253"/>
      <c r="Z63" s="42"/>
      <c r="AA63" s="42"/>
      <c r="AB63" s="42"/>
    </row>
    <row r="64" spans="2:28" s="216" customFormat="1" ht="15" customHeight="1">
      <c r="B64" s="42"/>
      <c r="C64" s="42"/>
      <c r="D64" s="42"/>
      <c r="E64" s="42"/>
      <c r="F64" s="42"/>
      <c r="G64" s="42"/>
      <c r="H64" s="42"/>
      <c r="I64" s="42"/>
      <c r="J64" s="42"/>
      <c r="K64" s="211"/>
      <c r="L64" s="42"/>
      <c r="M64" s="212"/>
      <c r="N64" s="213"/>
      <c r="O64" s="213"/>
      <c r="P64" s="213"/>
      <c r="Q64" s="42"/>
      <c r="R64" s="214"/>
      <c r="S64" s="808" t="s">
        <v>304</v>
      </c>
      <c r="T64" s="809"/>
      <c r="U64" s="809"/>
      <c r="V64" s="810"/>
      <c r="Z64" s="42"/>
      <c r="AA64" s="42"/>
      <c r="AB64" s="42"/>
    </row>
    <row r="65" spans="2:28" s="216" customFormat="1">
      <c r="B65" s="42"/>
      <c r="C65" s="42"/>
      <c r="D65" s="42"/>
      <c r="E65" s="42"/>
      <c r="F65" s="42"/>
      <c r="G65" s="42"/>
      <c r="H65" s="42"/>
      <c r="I65" s="42"/>
      <c r="J65" s="42"/>
      <c r="K65" s="211"/>
      <c r="L65" s="42"/>
      <c r="M65" s="212"/>
      <c r="N65" s="213"/>
      <c r="O65" s="213"/>
      <c r="P65" s="213"/>
      <c r="Q65" s="42"/>
      <c r="R65" s="214"/>
      <c r="S65" s="811"/>
      <c r="T65" s="812"/>
      <c r="U65" s="812"/>
      <c r="V65" s="813"/>
      <c r="Z65" s="42"/>
      <c r="AA65" s="42"/>
      <c r="AB65" s="42"/>
    </row>
    <row r="66" spans="2:28" s="216" customFormat="1">
      <c r="B66" s="42"/>
      <c r="C66" s="42"/>
      <c r="D66" s="42"/>
      <c r="E66" s="42"/>
      <c r="F66" s="42"/>
      <c r="G66" s="42"/>
      <c r="H66" s="42"/>
      <c r="I66" s="42"/>
      <c r="J66" s="42"/>
      <c r="K66" s="211"/>
      <c r="L66" s="42"/>
      <c r="M66" s="212"/>
      <c r="N66" s="213"/>
      <c r="O66" s="213"/>
      <c r="P66" s="213"/>
      <c r="Q66" s="42"/>
      <c r="R66" s="214"/>
      <c r="S66" s="814"/>
      <c r="T66" s="815"/>
      <c r="U66" s="815"/>
      <c r="V66" s="816"/>
      <c r="Z66" s="42"/>
      <c r="AA66" s="42"/>
      <c r="AB66" s="42"/>
    </row>
  </sheetData>
  <mergeCells count="82">
    <mergeCell ref="D5:F5"/>
    <mergeCell ref="G5:H5"/>
    <mergeCell ref="K5:P7"/>
    <mergeCell ref="D6:F6"/>
    <mergeCell ref="G6:H6"/>
    <mergeCell ref="D7:F7"/>
    <mergeCell ref="G7:H7"/>
    <mergeCell ref="D3:P3"/>
    <mergeCell ref="D4:F4"/>
    <mergeCell ref="G4:H4"/>
    <mergeCell ref="I4:J4"/>
    <mergeCell ref="K4:O4"/>
    <mergeCell ref="D8:F8"/>
    <mergeCell ref="G8:H8"/>
    <mergeCell ref="D9:F9"/>
    <mergeCell ref="G9:H9"/>
    <mergeCell ref="K9:N9"/>
    <mergeCell ref="D10:F10"/>
    <mergeCell ref="G10:H10"/>
    <mergeCell ref="M10:N10"/>
    <mergeCell ref="I11:I13"/>
    <mergeCell ref="J11:J13"/>
    <mergeCell ref="K11:P13"/>
    <mergeCell ref="D12:F13"/>
    <mergeCell ref="D21:F21"/>
    <mergeCell ref="G21:H21"/>
    <mergeCell ref="D16:P16"/>
    <mergeCell ref="D17:F17"/>
    <mergeCell ref="G17:H17"/>
    <mergeCell ref="I17:J17"/>
    <mergeCell ref="K17:O17"/>
    <mergeCell ref="D18:F18"/>
    <mergeCell ref="G18:H18"/>
    <mergeCell ref="D19:F19"/>
    <mergeCell ref="G19:H19"/>
    <mergeCell ref="K19:P20"/>
    <mergeCell ref="D20:F20"/>
    <mergeCell ref="G20:H20"/>
    <mergeCell ref="D26:P26"/>
    <mergeCell ref="D22:F22"/>
    <mergeCell ref="G22:H22"/>
    <mergeCell ref="K22:N22"/>
    <mergeCell ref="D23:F23"/>
    <mergeCell ref="G23:H23"/>
    <mergeCell ref="M23:N23"/>
    <mergeCell ref="D24:F24"/>
    <mergeCell ref="I24:I25"/>
    <mergeCell ref="J24:J25"/>
    <mergeCell ref="K24:P25"/>
    <mergeCell ref="D25:F25"/>
    <mergeCell ref="S37:Z37"/>
    <mergeCell ref="D27:P27"/>
    <mergeCell ref="S27:Z27"/>
    <mergeCell ref="S28:Z28"/>
    <mergeCell ref="B29:L29"/>
    <mergeCell ref="C30:L30"/>
    <mergeCell ref="C31:L31"/>
    <mergeCell ref="S31:Z31"/>
    <mergeCell ref="C32:L32"/>
    <mergeCell ref="C33:L33"/>
    <mergeCell ref="C34:L34"/>
    <mergeCell ref="S34:Z34"/>
    <mergeCell ref="C35:L35"/>
    <mergeCell ref="S40:Z40"/>
    <mergeCell ref="S47:V47"/>
    <mergeCell ref="S48:T50"/>
    <mergeCell ref="U48:V48"/>
    <mergeCell ref="U49:V49"/>
    <mergeCell ref="U50:V50"/>
    <mergeCell ref="S64:V66"/>
    <mergeCell ref="S51:T53"/>
    <mergeCell ref="U51:V51"/>
    <mergeCell ref="U52:V52"/>
    <mergeCell ref="U53:V53"/>
    <mergeCell ref="S54:T57"/>
    <mergeCell ref="U54:V55"/>
    <mergeCell ref="U56:V57"/>
    <mergeCell ref="S58:T60"/>
    <mergeCell ref="U58:V60"/>
    <mergeCell ref="S61:T63"/>
    <mergeCell ref="U61:V62"/>
    <mergeCell ref="U63:V63"/>
  </mergeCell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11</vt:i4>
      </vt:variant>
    </vt:vector>
  </HeadingPairs>
  <TitlesOfParts>
    <vt:vector size="19" baseType="lpstr">
      <vt:lpstr>Orçamento</vt:lpstr>
      <vt:lpstr>Quant.</vt:lpstr>
      <vt:lpstr>Drenagem</vt:lpstr>
      <vt:lpstr>Pavimentação</vt:lpstr>
      <vt:lpstr>Cronograma</vt:lpstr>
      <vt:lpstr>ADM</vt:lpstr>
      <vt:lpstr>QCI </vt:lpstr>
      <vt:lpstr>BDI</vt:lpstr>
      <vt:lpstr>ADM!Area_de_impressao</vt:lpstr>
      <vt:lpstr>BDI!Area_de_impressao</vt:lpstr>
      <vt:lpstr>Cronograma!Area_de_impressao</vt:lpstr>
      <vt:lpstr>Drenagem!Area_de_impressao</vt:lpstr>
      <vt:lpstr>Orçamento!Area_de_impressao</vt:lpstr>
      <vt:lpstr>Pavimentação!Area_de_impressao</vt:lpstr>
      <vt:lpstr>'QCI '!Area_de_impressao</vt:lpstr>
      <vt:lpstr>Quant.!Area_de_impressao</vt:lpstr>
      <vt:lpstr>Drenagem!Titulos_de_impressao</vt:lpstr>
      <vt:lpstr>Orçamento!Titulos_de_impressao</vt:lpstr>
      <vt:lpstr>Quant.!Titulos_de_impressao</vt:lpstr>
    </vt:vector>
  </TitlesOfParts>
  <Company>EMPRESA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Enderson</dc:creator>
  <cp:lastModifiedBy>Secretaria de Administração Secretaria</cp:lastModifiedBy>
  <cp:lastPrinted>2016-11-16T12:05:59Z</cp:lastPrinted>
  <dcterms:created xsi:type="dcterms:W3CDTF">2006-10-11T16:00:36Z</dcterms:created>
  <dcterms:modified xsi:type="dcterms:W3CDTF">2016-11-16T15:32:37Z</dcterms:modified>
</cp:coreProperties>
</file>